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240" firstSheet="4" activeTab="6"/>
  </bookViews>
  <sheets>
    <sheet name="قائمه السيارات والمبيعات" sheetId="1" r:id="rId1"/>
    <sheet name="جدول المنتجات" sheetId="2" r:id="rId2"/>
    <sheet name="قائمه المعدات" sheetId="3" r:id="rId3"/>
    <sheet name="الأرباح والخسائر" sheetId="4" r:id="rId4"/>
    <sheet name="الميزانية الافتتاحية" sheetId="5" r:id="rId5"/>
    <sheet name="العمالة المطلوبة وتكلفتها" sheetId="6" r:id="rId6"/>
    <sheet name="المصروفات" sheetId="7" r:id="rId7"/>
    <sheet name="قائمة الخامات" sheetId="8" r:id="rId8"/>
    <sheet name="ورقة1" sheetId="9" r:id="rId9"/>
  </sheets>
  <definedNames/>
  <calcPr fullCalcOnLoad="1"/>
</workbook>
</file>

<file path=xl/sharedStrings.xml><?xml version="1.0" encoding="utf-8"?>
<sst xmlns="http://schemas.openxmlformats.org/spreadsheetml/2006/main" count="237" uniqueCount="158">
  <si>
    <t>الصنف</t>
  </si>
  <si>
    <t>الوزن بالكيلو</t>
  </si>
  <si>
    <t xml:space="preserve">متوسط السعر </t>
  </si>
  <si>
    <t>اجمالي السعر</t>
  </si>
  <si>
    <t>العدد المتوقع</t>
  </si>
  <si>
    <t>اجمالي المبيعات</t>
  </si>
  <si>
    <t>ملاحظات</t>
  </si>
  <si>
    <t>جبن ملح خفيف</t>
  </si>
  <si>
    <t>جبن فيتا</t>
  </si>
  <si>
    <t>لبنة</t>
  </si>
  <si>
    <t>قشدة</t>
  </si>
  <si>
    <t>جبن قريش</t>
  </si>
  <si>
    <t>القيم بالألف</t>
  </si>
  <si>
    <t>وحدة تجهيز</t>
  </si>
  <si>
    <t>عدد 2 تنك 5 طن</t>
  </si>
  <si>
    <t>طلمبة توزيع</t>
  </si>
  <si>
    <t>عدد 1 تنك زيت</t>
  </si>
  <si>
    <t>وحدة بسترة</t>
  </si>
  <si>
    <t>وحدة UF سليلوز</t>
  </si>
  <si>
    <t>عدد 2 تنك بمستلزماتها</t>
  </si>
  <si>
    <t>وحدة صب الجبن</t>
  </si>
  <si>
    <t>عدد 2 تنك 200 لتر</t>
  </si>
  <si>
    <t>عدد 200 صينية 40 / 40 / 90</t>
  </si>
  <si>
    <t>حضانة</t>
  </si>
  <si>
    <t>ثلاجة صوانى</t>
  </si>
  <si>
    <t>ثلاجة منتج</t>
  </si>
  <si>
    <t>ادوات مساعدة</t>
  </si>
  <si>
    <t>قطع غيار ووصلات</t>
  </si>
  <si>
    <t>محابس وكهرباء</t>
  </si>
  <si>
    <t>ماكينة طباعة التاريخ</t>
  </si>
  <si>
    <t>ماكينة صفيح</t>
  </si>
  <si>
    <t>فرز 5 طن استعمال</t>
  </si>
  <si>
    <t>محطة هواء وكهرباء</t>
  </si>
  <si>
    <t>الإجمالى</t>
  </si>
  <si>
    <t>سيارات</t>
  </si>
  <si>
    <t>البيان</t>
  </si>
  <si>
    <t>السنة الاولى</t>
  </si>
  <si>
    <t>السنة الثانية</t>
  </si>
  <si>
    <t>السنة الثالثة</t>
  </si>
  <si>
    <t>إجمالى ايرادات النشاط</t>
  </si>
  <si>
    <t>إجمالى مصروفات النشاط</t>
  </si>
  <si>
    <t>مجمل الربح الصافى</t>
  </si>
  <si>
    <t>حصة الضرائب 2%</t>
  </si>
  <si>
    <t>حصة مصاريف (احتياطى) التأصيل 3%</t>
  </si>
  <si>
    <t>نسبة مجمل الربح</t>
  </si>
  <si>
    <t>صافى الربح</t>
  </si>
  <si>
    <t>نسبة صافى الربح</t>
  </si>
  <si>
    <t>إجمالى القيمة</t>
  </si>
  <si>
    <t>قيمة الإهلاك</t>
  </si>
  <si>
    <t>قيمة الإهلاك السنوى</t>
  </si>
  <si>
    <t>القيمة الثابتة بالألف جنيه</t>
  </si>
  <si>
    <t>الأراضى</t>
  </si>
  <si>
    <t>المنشآت</t>
  </si>
  <si>
    <t>أصول معمرة</t>
  </si>
  <si>
    <t>معدات (خط الإنتاج)</t>
  </si>
  <si>
    <t>عدد وآلات</t>
  </si>
  <si>
    <t>الأثاث</t>
  </si>
  <si>
    <t>أجهزة كهربائية</t>
  </si>
  <si>
    <t>الصندوق</t>
  </si>
  <si>
    <t>حساب البنك</t>
  </si>
  <si>
    <t>بضاعة آخر المدة</t>
  </si>
  <si>
    <t>حسابات اخرى</t>
  </si>
  <si>
    <t>عملاء</t>
  </si>
  <si>
    <t>خصومات أخرى</t>
  </si>
  <si>
    <t>رأس المال المستثمر</t>
  </si>
  <si>
    <t>إجمالى العامل</t>
  </si>
  <si>
    <t>إجمالى الاستثمار</t>
  </si>
  <si>
    <t>إجمالى تكلفة الاستثمار</t>
  </si>
  <si>
    <t>الأصول المتداولة:</t>
  </si>
  <si>
    <t>الأصول طويلة الأجل:</t>
  </si>
  <si>
    <t>أصول ثابتة (إجمالى):</t>
  </si>
  <si>
    <t>الالتزامات المتداولة:</t>
  </si>
  <si>
    <t>خصومات آخر المدة</t>
  </si>
  <si>
    <t>العدد</t>
  </si>
  <si>
    <t>المرتب</t>
  </si>
  <si>
    <t>إجمالى التكلفة</t>
  </si>
  <si>
    <t>مدير فنى (مهندس - فنى خبرة)</t>
  </si>
  <si>
    <t>مساعد (فنى خبرة)</t>
  </si>
  <si>
    <t>عمال (دبلوم)</t>
  </si>
  <si>
    <t>عامل نظافة</t>
  </si>
  <si>
    <t>محاسب</t>
  </si>
  <si>
    <t>اسم الخامة</t>
  </si>
  <si>
    <t>الوحدة</t>
  </si>
  <si>
    <t>سعر الوحدة (جنيه)</t>
  </si>
  <si>
    <t>الكمية المطلوبة</t>
  </si>
  <si>
    <t>الخامات الاساسية</t>
  </si>
  <si>
    <t>لبن فرز مجفف</t>
  </si>
  <si>
    <t>بديل زبدة (زيت نخيل مهدرج)</t>
  </si>
  <si>
    <t>شورتنج (زيت غير مهدرج)</t>
  </si>
  <si>
    <t>كلوريد كالسيوم</t>
  </si>
  <si>
    <t>سوربات بوتاسيوم</t>
  </si>
  <si>
    <t>ملح طعام</t>
  </si>
  <si>
    <t>منفحة جافة</t>
  </si>
  <si>
    <t>صودا كاوية للغسيل</t>
  </si>
  <si>
    <t>ماء أكسجين غسيل</t>
  </si>
  <si>
    <t>مثبت قوام</t>
  </si>
  <si>
    <t>حمض غسيل</t>
  </si>
  <si>
    <t>بادئ زبادى</t>
  </si>
  <si>
    <t>التعبئة والتغليف</t>
  </si>
  <si>
    <t>مناديل فرش صوانى 30×30</t>
  </si>
  <si>
    <t>مناديل لف مطبوع 25×25</t>
  </si>
  <si>
    <t>أكياس جوالين</t>
  </si>
  <si>
    <t>جالون 10 ك</t>
  </si>
  <si>
    <t>جالون 7 ك</t>
  </si>
  <si>
    <t>علب 1.5 ك</t>
  </si>
  <si>
    <t>علب 1 ك</t>
  </si>
  <si>
    <t>علب 0.5 مطبوع</t>
  </si>
  <si>
    <t>علب 0.25 مطبوع</t>
  </si>
  <si>
    <t>علب بلاستيك مطبوع 150 جم زبادى 9×9</t>
  </si>
  <si>
    <t>علب بلاستيك مربع 9×9</t>
  </si>
  <si>
    <t>غطاء ألومنيوم مطبوع</t>
  </si>
  <si>
    <t>كرتون حاوى للعلب</t>
  </si>
  <si>
    <t>كيلو</t>
  </si>
  <si>
    <t>GDL</t>
  </si>
  <si>
    <t xml:space="preserve">امن </t>
  </si>
  <si>
    <t>عدد</t>
  </si>
  <si>
    <t>زبادي</t>
  </si>
  <si>
    <t>المشتريات</t>
  </si>
  <si>
    <t>الكهربات</t>
  </si>
  <si>
    <t>المياه</t>
  </si>
  <si>
    <t>السولار</t>
  </si>
  <si>
    <t>السنه الثانيه</t>
  </si>
  <si>
    <t>السنه الاولي</t>
  </si>
  <si>
    <t>السنه الثالثه</t>
  </si>
  <si>
    <t>االاجور</t>
  </si>
  <si>
    <t>الصيانه</t>
  </si>
  <si>
    <t>اجمالي المصروفات</t>
  </si>
  <si>
    <t>بروتين مركز 70%</t>
  </si>
  <si>
    <t>لبن فرز بقري</t>
  </si>
  <si>
    <t>لبن فرز جاموسي</t>
  </si>
  <si>
    <t>الاكراميات</t>
  </si>
  <si>
    <t>سياره مجهزه</t>
  </si>
  <si>
    <t>سياره نقل</t>
  </si>
  <si>
    <t>القيمه</t>
  </si>
  <si>
    <t>قائمة المعدات</t>
  </si>
  <si>
    <t>مصدر المياه</t>
  </si>
  <si>
    <t>مصدر الكهرباء</t>
  </si>
  <si>
    <t>مصدر البخار</t>
  </si>
  <si>
    <t>مصدر التبريد</t>
  </si>
  <si>
    <t>وحده الاستلام</t>
  </si>
  <si>
    <t>5طن مياه</t>
  </si>
  <si>
    <t>قدره 70 حصان</t>
  </si>
  <si>
    <t>طن ساعه بخار</t>
  </si>
  <si>
    <t>5 حصان</t>
  </si>
  <si>
    <t>عداد وتنك استلام</t>
  </si>
  <si>
    <t>تنكات مقلبات سريعه</t>
  </si>
  <si>
    <t>2طن ساعه</t>
  </si>
  <si>
    <t>750كيلو</t>
  </si>
  <si>
    <t>مبادل بالوصلات</t>
  </si>
  <si>
    <t>3فلتر سليلوز</t>
  </si>
  <si>
    <t>طن ساعه</t>
  </si>
  <si>
    <t>5طن</t>
  </si>
  <si>
    <t>اجور تركيبات</t>
  </si>
  <si>
    <t>كبلات ولوحات كهرباء</t>
  </si>
  <si>
    <t>ماكينه تعبئه 2200</t>
  </si>
  <si>
    <t>استعمال</t>
  </si>
  <si>
    <t>جديد</t>
  </si>
  <si>
    <t>مصدر الشراء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</si>
</sst>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32"/>
      <color indexed="8"/>
      <name val="Arial"/>
      <family val="0"/>
    </font>
    <font>
      <sz val="11"/>
      <color indexed="8"/>
      <name val="Arial"/>
      <family val="0"/>
    </font>
    <font>
      <sz val="18"/>
      <color indexed="8"/>
      <name val="Arial"/>
      <family val="0"/>
    </font>
    <font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33" applyFont="1" applyBorder="1" applyAlignment="1">
      <alignment/>
    </xf>
    <xf numFmtId="43" fontId="0" fillId="0" borderId="11" xfId="33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43" fontId="46" fillId="0" borderId="19" xfId="33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43" fontId="46" fillId="0" borderId="21" xfId="33" applyFont="1" applyBorder="1" applyAlignment="1">
      <alignment horizontal="center"/>
    </xf>
    <xf numFmtId="43" fontId="0" fillId="0" borderId="22" xfId="33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47" fillId="0" borderId="24" xfId="33" applyFont="1" applyBorder="1" applyAlignment="1">
      <alignment horizontal="center"/>
    </xf>
    <xf numFmtId="43" fontId="0" fillId="0" borderId="25" xfId="33" applyFont="1" applyBorder="1" applyAlignment="1">
      <alignment/>
    </xf>
    <xf numFmtId="0" fontId="0" fillId="0" borderId="26" xfId="0" applyBorder="1" applyAlignment="1">
      <alignment/>
    </xf>
    <xf numFmtId="43" fontId="0" fillId="0" borderId="27" xfId="33" applyFont="1" applyBorder="1" applyAlignment="1">
      <alignment/>
    </xf>
    <xf numFmtId="43" fontId="0" fillId="0" borderId="28" xfId="33" applyFont="1" applyBorder="1" applyAlignment="1">
      <alignment/>
    </xf>
    <xf numFmtId="43" fontId="0" fillId="0" borderId="26" xfId="33" applyFont="1" applyBorder="1" applyAlignment="1">
      <alignment/>
    </xf>
    <xf numFmtId="43" fontId="0" fillId="0" borderId="23" xfId="33" applyFont="1" applyBorder="1" applyAlignment="1">
      <alignment/>
    </xf>
    <xf numFmtId="43" fontId="0" fillId="0" borderId="16" xfId="33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49" fillId="0" borderId="3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49" fillId="0" borderId="21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9" fillId="0" borderId="24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0" fillId="0" borderId="27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39" xfId="0" applyFont="1" applyBorder="1" applyAlignment="1">
      <alignment/>
    </xf>
    <xf numFmtId="0" fontId="0" fillId="0" borderId="46" xfId="0" applyBorder="1" applyAlignment="1">
      <alignment/>
    </xf>
    <xf numFmtId="0" fontId="33" fillId="0" borderId="27" xfId="0" applyFont="1" applyBorder="1" applyAlignment="1">
      <alignment/>
    </xf>
    <xf numFmtId="0" fontId="0" fillId="0" borderId="24" xfId="0" applyBorder="1" applyAlignment="1">
      <alignment/>
    </xf>
    <xf numFmtId="0" fontId="33" fillId="0" borderId="26" xfId="0" applyFont="1" applyBorder="1" applyAlignment="1">
      <alignment/>
    </xf>
    <xf numFmtId="0" fontId="48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8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33" fillId="0" borderId="51" xfId="0" applyFont="1" applyBorder="1" applyAlignment="1">
      <alignment/>
    </xf>
    <xf numFmtId="0" fontId="48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2" xfId="0" applyBorder="1" applyAlignment="1">
      <alignment/>
    </xf>
    <xf numFmtId="0" fontId="33" fillId="0" borderId="24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10" xfId="0" applyNumberFormat="1" applyBorder="1" applyAlignment="1">
      <alignment/>
    </xf>
    <xf numFmtId="43" fontId="0" fillId="0" borderId="3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28" xfId="0" applyNumberFormat="1" applyBorder="1" applyAlignment="1">
      <alignment/>
    </xf>
    <xf numFmtId="43" fontId="0" fillId="0" borderId="21" xfId="0" applyNumberFormat="1" applyBorder="1" applyAlignment="1">
      <alignment/>
    </xf>
    <xf numFmtId="0" fontId="49" fillId="0" borderId="41" xfId="0" applyFont="1" applyBorder="1" applyAlignment="1">
      <alignment/>
    </xf>
    <xf numFmtId="0" fontId="48" fillId="0" borderId="25" xfId="0" applyFont="1" applyBorder="1" applyAlignment="1">
      <alignment/>
    </xf>
    <xf numFmtId="0" fontId="49" fillId="0" borderId="42" xfId="0" applyFont="1" applyBorder="1" applyAlignment="1">
      <alignment/>
    </xf>
    <xf numFmtId="0" fontId="51" fillId="0" borderId="43" xfId="0" applyFont="1" applyBorder="1" applyAlignment="1">
      <alignment/>
    </xf>
    <xf numFmtId="0" fontId="52" fillId="0" borderId="45" xfId="0" applyFont="1" applyBorder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114300</xdr:rowOff>
    </xdr:from>
    <xdr:ext cx="3438525" cy="561975"/>
    <xdr:sp>
      <xdr:nvSpPr>
        <xdr:cNvPr id="1" name="مربع نص 1"/>
        <xdr:cNvSpPr txBox="1">
          <a:spLocks noChangeArrowheads="1"/>
        </xdr:cNvSpPr>
      </xdr:nvSpPr>
      <xdr:spPr>
        <a:xfrm>
          <a:off x="190500" y="114300"/>
          <a:ext cx="3438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قائمة السيارات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152400</xdr:rowOff>
    </xdr:from>
    <xdr:ext cx="2105025" cy="590550"/>
    <xdr:sp>
      <xdr:nvSpPr>
        <xdr:cNvPr id="1" name="مربع نص 1"/>
        <xdr:cNvSpPr txBox="1">
          <a:spLocks noChangeArrowheads="1"/>
        </xdr:cNvSpPr>
      </xdr:nvSpPr>
      <xdr:spPr>
        <a:xfrm>
          <a:off x="2247900" y="152400"/>
          <a:ext cx="2105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المنتجات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0</xdr:row>
      <xdr:rowOff>142875</xdr:rowOff>
    </xdr:from>
    <xdr:ext cx="3409950" cy="561975"/>
    <xdr:sp>
      <xdr:nvSpPr>
        <xdr:cNvPr id="1" name="مربع نص 1"/>
        <xdr:cNvSpPr txBox="1">
          <a:spLocks noChangeArrowheads="1"/>
        </xdr:cNvSpPr>
      </xdr:nvSpPr>
      <xdr:spPr>
        <a:xfrm>
          <a:off x="400050" y="142875"/>
          <a:ext cx="3409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قائمة</a:t>
          </a: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المعدات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1123950</xdr:colOff>
      <xdr:row>0</xdr:row>
      <xdr:rowOff>142875</xdr:rowOff>
    </xdr:from>
    <xdr:ext cx="2571750" cy="590550"/>
    <xdr:sp>
      <xdr:nvSpPr>
        <xdr:cNvPr id="1" name="مربع نص 1"/>
        <xdr:cNvSpPr txBox="1">
          <a:spLocks noChangeArrowheads="1"/>
        </xdr:cNvSpPr>
      </xdr:nvSpPr>
      <xdr:spPr>
        <a:xfrm>
          <a:off x="1123950" y="142875"/>
          <a:ext cx="2571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الأرباح</a:t>
          </a: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والخسائر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</xdr:row>
      <xdr:rowOff>152400</xdr:rowOff>
    </xdr:from>
    <xdr:ext cx="5181600" cy="371475"/>
    <xdr:sp>
      <xdr:nvSpPr>
        <xdr:cNvPr id="1" name="مربع نص 1"/>
        <xdr:cNvSpPr txBox="1">
          <a:spLocks noChangeArrowheads="1"/>
        </xdr:cNvSpPr>
      </xdr:nvSpPr>
      <xdr:spPr>
        <a:xfrm>
          <a:off x="952500" y="342900"/>
          <a:ext cx="5181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الميزانيه الافتتاحيه علي اساس توفر راس المال بالكامل 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114300</xdr:rowOff>
    </xdr:from>
    <xdr:ext cx="3438525" cy="561975"/>
    <xdr:sp>
      <xdr:nvSpPr>
        <xdr:cNvPr id="1" name="مربع نص 1"/>
        <xdr:cNvSpPr txBox="1">
          <a:spLocks noChangeArrowheads="1"/>
        </xdr:cNvSpPr>
      </xdr:nvSpPr>
      <xdr:spPr>
        <a:xfrm>
          <a:off x="190500" y="114300"/>
          <a:ext cx="3438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العمالة المطلوبة وتكلفتها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1</xdr:row>
      <xdr:rowOff>9525</xdr:rowOff>
    </xdr:from>
    <xdr:ext cx="3438525" cy="561975"/>
    <xdr:sp>
      <xdr:nvSpPr>
        <xdr:cNvPr id="1" name="مربع نص 1"/>
        <xdr:cNvSpPr txBox="1">
          <a:spLocks noChangeArrowheads="1"/>
        </xdr:cNvSpPr>
      </xdr:nvSpPr>
      <xdr:spPr>
        <a:xfrm>
          <a:off x="542925" y="200025"/>
          <a:ext cx="3438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بيان 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المصروفات العموميه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85725</xdr:rowOff>
    </xdr:from>
    <xdr:ext cx="2409825" cy="561975"/>
    <xdr:sp>
      <xdr:nvSpPr>
        <xdr:cNvPr id="1" name="مربع نص 1"/>
        <xdr:cNvSpPr txBox="1">
          <a:spLocks noChangeArrowheads="1"/>
        </xdr:cNvSpPr>
      </xdr:nvSpPr>
      <xdr:spPr>
        <a:xfrm>
          <a:off x="2047875" y="276225"/>
          <a:ext cx="2409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قائمة الخامات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2"/>
  <sheetViews>
    <sheetView rightToLeft="1" zoomScalePageLayoutView="0" workbookViewId="0" topLeftCell="A1">
      <selection activeCell="B14" sqref="B14"/>
    </sheetView>
  </sheetViews>
  <sheetFormatPr defaultColWidth="9.140625" defaultRowHeight="15"/>
  <cols>
    <col min="1" max="1" width="22.28125" style="0" bestFit="1" customWidth="1"/>
    <col min="3" max="3" width="12.28125" style="0" customWidth="1"/>
    <col min="4" max="4" width="13.421875" style="0" bestFit="1" customWidth="1"/>
  </cols>
  <sheetData>
    <row r="5" spans="1:4" ht="15.75" thickBot="1">
      <c r="A5">
        <f>D5</f>
        <v>390</v>
      </c>
      <c r="D5">
        <f>SUM(D7:D12)</f>
        <v>390</v>
      </c>
    </row>
    <row r="6" spans="1:4" ht="19.5" thickBot="1">
      <c r="A6" s="48" t="s">
        <v>35</v>
      </c>
      <c r="B6" s="46" t="s">
        <v>73</v>
      </c>
      <c r="C6" s="43" t="s">
        <v>133</v>
      </c>
      <c r="D6" s="44" t="s">
        <v>75</v>
      </c>
    </row>
    <row r="7" spans="1:4" ht="15">
      <c r="A7" s="50" t="s">
        <v>131</v>
      </c>
      <c r="B7" s="34">
        <v>2</v>
      </c>
      <c r="C7" s="31">
        <v>120</v>
      </c>
      <c r="D7" s="11">
        <f>C7*B7</f>
        <v>240</v>
      </c>
    </row>
    <row r="8" spans="1:4" ht="15">
      <c r="A8" s="50" t="s">
        <v>132</v>
      </c>
      <c r="B8" s="16">
        <v>1</v>
      </c>
      <c r="C8" s="1">
        <v>150</v>
      </c>
      <c r="D8" s="11">
        <f>C8*B8</f>
        <v>150</v>
      </c>
    </row>
    <row r="9" spans="1:4" ht="15">
      <c r="A9" s="50"/>
      <c r="B9" s="16"/>
      <c r="C9" s="1"/>
      <c r="D9" s="11"/>
    </row>
    <row r="10" spans="1:4" ht="15">
      <c r="A10" s="50"/>
      <c r="B10" s="16"/>
      <c r="C10" s="1"/>
      <c r="D10" s="11"/>
    </row>
    <row r="11" spans="1:4" ht="15">
      <c r="A11" s="50"/>
      <c r="B11" s="16"/>
      <c r="C11" s="1"/>
      <c r="D11" s="11"/>
    </row>
    <row r="12" spans="1:4" ht="15.75" thickBot="1">
      <c r="A12" s="20"/>
      <c r="B12" s="17"/>
      <c r="C12" s="8"/>
      <c r="D12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2"/>
  <sheetViews>
    <sheetView rightToLeft="1" zoomScalePageLayoutView="0" workbookViewId="0" topLeftCell="A1">
      <selection activeCell="A5" sqref="A5"/>
    </sheetView>
  </sheetViews>
  <sheetFormatPr defaultColWidth="9.140625" defaultRowHeight="15"/>
  <cols>
    <col min="1" max="1" width="20.7109375" style="0" customWidth="1"/>
    <col min="2" max="5" width="12.00390625" style="0" customWidth="1"/>
    <col min="6" max="6" width="14.421875" style="0" bestFit="1" customWidth="1"/>
    <col min="7" max="7" width="14.28125" style="0" customWidth="1"/>
  </cols>
  <sheetData>
    <row r="4" spans="1:6" ht="15.75" thickBot="1">
      <c r="A4" s="87">
        <f>F4*328</f>
        <v>13340973.6</v>
      </c>
      <c r="F4" s="87">
        <f>SUM(F6:F21)</f>
        <v>40673.7</v>
      </c>
    </row>
    <row r="5" spans="1:7" s="10" customFormat="1" ht="31.5" customHeight="1" thickBot="1">
      <c r="A5" s="18" t="s">
        <v>0</v>
      </c>
      <c r="B5" s="14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3" t="s">
        <v>6</v>
      </c>
    </row>
    <row r="6" spans="1:7" ht="15.75" thickBot="1">
      <c r="A6" s="21" t="s">
        <v>7</v>
      </c>
      <c r="B6" s="22">
        <v>10</v>
      </c>
      <c r="C6" s="3">
        <v>12</v>
      </c>
      <c r="D6" s="3">
        <f>C6*B6</f>
        <v>120</v>
      </c>
      <c r="E6" s="3">
        <v>40</v>
      </c>
      <c r="F6" s="3">
        <f>E6*D6</f>
        <v>4800</v>
      </c>
      <c r="G6" s="4"/>
    </row>
    <row r="7" spans="1:7" ht="15.75" thickBot="1">
      <c r="A7" s="19" t="s">
        <v>7</v>
      </c>
      <c r="B7" s="15">
        <v>7</v>
      </c>
      <c r="C7" s="2">
        <v>12</v>
      </c>
      <c r="D7" s="3">
        <f aca="true" t="shared" si="0" ref="D7:D21">C7*B7</f>
        <v>84</v>
      </c>
      <c r="E7" s="2">
        <v>85</v>
      </c>
      <c r="F7" s="3">
        <f aca="true" t="shared" si="1" ref="F7:F21">E7*D7</f>
        <v>7140</v>
      </c>
      <c r="G7" s="5"/>
    </row>
    <row r="8" spans="1:7" ht="15.75" thickBot="1">
      <c r="A8" s="19" t="s">
        <v>7</v>
      </c>
      <c r="B8" s="15">
        <v>1</v>
      </c>
      <c r="C8" s="2">
        <v>16</v>
      </c>
      <c r="D8" s="3">
        <f t="shared" si="0"/>
        <v>16</v>
      </c>
      <c r="E8" s="2">
        <v>50</v>
      </c>
      <c r="F8" s="3">
        <f t="shared" si="1"/>
        <v>800</v>
      </c>
      <c r="G8" s="5"/>
    </row>
    <row r="9" spans="1:7" ht="15.75" thickBot="1">
      <c r="A9" s="19" t="s">
        <v>7</v>
      </c>
      <c r="B9" s="15">
        <v>0.45</v>
      </c>
      <c r="C9" s="2">
        <v>16</v>
      </c>
      <c r="D9" s="3">
        <f t="shared" si="0"/>
        <v>7.2</v>
      </c>
      <c r="E9" s="2">
        <v>700</v>
      </c>
      <c r="F9" s="3">
        <f t="shared" si="1"/>
        <v>5040</v>
      </c>
      <c r="G9" s="5"/>
    </row>
    <row r="10" spans="1:7" ht="15.75" thickBot="1">
      <c r="A10" s="23" t="s">
        <v>7</v>
      </c>
      <c r="B10" s="24">
        <v>0.25</v>
      </c>
      <c r="C10" s="25">
        <v>16</v>
      </c>
      <c r="D10" s="3">
        <f t="shared" si="0"/>
        <v>4</v>
      </c>
      <c r="E10" s="25">
        <v>400</v>
      </c>
      <c r="F10" s="3">
        <f t="shared" si="1"/>
        <v>1600</v>
      </c>
      <c r="G10" s="9"/>
    </row>
    <row r="11" spans="1:7" ht="15.75" thickBot="1">
      <c r="A11" s="21" t="s">
        <v>8</v>
      </c>
      <c r="B11" s="22">
        <v>10</v>
      </c>
      <c r="C11" s="3">
        <v>10</v>
      </c>
      <c r="D11" s="3">
        <f t="shared" si="0"/>
        <v>100</v>
      </c>
      <c r="E11" s="3">
        <v>78</v>
      </c>
      <c r="F11" s="3">
        <f t="shared" si="1"/>
        <v>7800</v>
      </c>
      <c r="G11" s="4"/>
    </row>
    <row r="12" spans="1:7" ht="15.75" thickBot="1">
      <c r="A12" s="19" t="s">
        <v>8</v>
      </c>
      <c r="B12" s="15">
        <v>7</v>
      </c>
      <c r="C12" s="2">
        <v>10</v>
      </c>
      <c r="D12" s="3">
        <f t="shared" si="0"/>
        <v>70</v>
      </c>
      <c r="E12" s="2">
        <v>60</v>
      </c>
      <c r="F12" s="3">
        <f t="shared" si="1"/>
        <v>4200</v>
      </c>
      <c r="G12" s="5"/>
    </row>
    <row r="13" spans="1:7" ht="15.75" thickBot="1">
      <c r="A13" s="19" t="s">
        <v>8</v>
      </c>
      <c r="B13" s="15">
        <v>1.5</v>
      </c>
      <c r="C13" s="2">
        <v>10</v>
      </c>
      <c r="D13" s="3">
        <f t="shared" si="0"/>
        <v>15</v>
      </c>
      <c r="E13" s="2">
        <v>100</v>
      </c>
      <c r="F13" s="3">
        <f t="shared" si="1"/>
        <v>1500</v>
      </c>
      <c r="G13" s="5"/>
    </row>
    <row r="14" spans="1:7" ht="15.75" thickBot="1">
      <c r="A14" s="19" t="s">
        <v>8</v>
      </c>
      <c r="B14" s="15">
        <v>0.45</v>
      </c>
      <c r="C14" s="2">
        <v>12</v>
      </c>
      <c r="D14" s="3">
        <f t="shared" si="0"/>
        <v>5.4</v>
      </c>
      <c r="E14" s="2">
        <v>300</v>
      </c>
      <c r="F14" s="3">
        <f t="shared" si="1"/>
        <v>1620</v>
      </c>
      <c r="G14" s="5"/>
    </row>
    <row r="15" spans="1:7" ht="15.75" thickBot="1">
      <c r="A15" s="23" t="s">
        <v>8</v>
      </c>
      <c r="B15" s="24">
        <v>0.25</v>
      </c>
      <c r="C15" s="25">
        <v>12</v>
      </c>
      <c r="D15" s="3">
        <f t="shared" si="0"/>
        <v>3</v>
      </c>
      <c r="E15" s="25"/>
      <c r="F15" s="3">
        <f t="shared" si="1"/>
        <v>0</v>
      </c>
      <c r="G15" s="9"/>
    </row>
    <row r="16" spans="1:7" ht="15.75" thickBot="1">
      <c r="A16" s="21" t="s">
        <v>116</v>
      </c>
      <c r="B16" s="22">
        <v>0.15</v>
      </c>
      <c r="C16" s="3">
        <v>6</v>
      </c>
      <c r="D16" s="3">
        <f t="shared" si="0"/>
        <v>0.8999999999999999</v>
      </c>
      <c r="E16" s="3">
        <v>2083</v>
      </c>
      <c r="F16" s="3">
        <f t="shared" si="1"/>
        <v>1874.6999999999998</v>
      </c>
      <c r="G16" s="4"/>
    </row>
    <row r="17" spans="1:7" ht="15.75" thickBot="1">
      <c r="A17" s="23" t="s">
        <v>9</v>
      </c>
      <c r="B17" s="24">
        <v>0.15</v>
      </c>
      <c r="C17" s="25">
        <v>10</v>
      </c>
      <c r="D17" s="3">
        <f t="shared" si="0"/>
        <v>1.5</v>
      </c>
      <c r="E17" s="25">
        <v>666</v>
      </c>
      <c r="F17" s="3">
        <f t="shared" si="1"/>
        <v>999</v>
      </c>
      <c r="G17" s="9"/>
    </row>
    <row r="18" spans="1:7" ht="15.75" thickBot="1">
      <c r="A18" s="21" t="s">
        <v>10</v>
      </c>
      <c r="B18" s="22">
        <v>0.15</v>
      </c>
      <c r="C18" s="3">
        <v>11</v>
      </c>
      <c r="D18" s="3">
        <f t="shared" si="0"/>
        <v>1.65</v>
      </c>
      <c r="E18" s="3">
        <v>2000</v>
      </c>
      <c r="F18" s="3">
        <f t="shared" si="1"/>
        <v>3300</v>
      </c>
      <c r="G18" s="4"/>
    </row>
    <row r="19" spans="1:7" ht="15.75" thickBot="1">
      <c r="A19" s="23" t="s">
        <v>10</v>
      </c>
      <c r="B19" s="24">
        <v>1</v>
      </c>
      <c r="C19" s="25">
        <v>11</v>
      </c>
      <c r="D19" s="3">
        <f t="shared" si="0"/>
        <v>11</v>
      </c>
      <c r="E19" s="25"/>
      <c r="F19" s="3">
        <f t="shared" si="1"/>
        <v>0</v>
      </c>
      <c r="G19" s="9"/>
    </row>
    <row r="20" spans="1:7" ht="15.75" thickBot="1">
      <c r="A20" s="21" t="s">
        <v>11</v>
      </c>
      <c r="B20" s="22">
        <v>1</v>
      </c>
      <c r="C20" s="3">
        <v>13</v>
      </c>
      <c r="D20" s="3">
        <f t="shared" si="0"/>
        <v>13</v>
      </c>
      <c r="E20" s="3"/>
      <c r="F20" s="3">
        <f t="shared" si="1"/>
        <v>0</v>
      </c>
      <c r="G20" s="4"/>
    </row>
    <row r="21" spans="1:7" ht="15.75" thickBot="1">
      <c r="A21" s="20" t="s">
        <v>11</v>
      </c>
      <c r="B21" s="17">
        <v>0.15</v>
      </c>
      <c r="C21" s="8">
        <v>16</v>
      </c>
      <c r="D21" s="3">
        <f t="shared" si="0"/>
        <v>2.4</v>
      </c>
      <c r="E21" s="8"/>
      <c r="F21" s="3">
        <f t="shared" si="1"/>
        <v>0</v>
      </c>
      <c r="G21" s="9"/>
    </row>
    <row r="22" spans="1:7" ht="15.75" thickBot="1">
      <c r="A22" s="71" t="s">
        <v>33</v>
      </c>
      <c r="B22" s="26"/>
      <c r="C22" s="27"/>
      <c r="D22" s="27"/>
      <c r="E22" s="27"/>
      <c r="F22" s="86">
        <f>SUM(F6:F20)</f>
        <v>40673.7</v>
      </c>
      <c r="G22" s="28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39"/>
  <sheetViews>
    <sheetView rightToLeft="1" zoomScalePageLayoutView="0" workbookViewId="0" topLeftCell="A1">
      <selection activeCell="D7" sqref="D7"/>
    </sheetView>
  </sheetViews>
  <sheetFormatPr defaultColWidth="9.140625" defaultRowHeight="15"/>
  <cols>
    <col min="1" max="1" width="22.57421875" style="0" bestFit="1" customWidth="1"/>
    <col min="2" max="2" width="10.8515625" style="0" bestFit="1" customWidth="1"/>
    <col min="3" max="3" width="20.421875" style="0" bestFit="1" customWidth="1"/>
    <col min="4" max="4" width="12.00390625" style="0" bestFit="1" customWidth="1"/>
  </cols>
  <sheetData>
    <row r="5" ht="15.75" thickBot="1">
      <c r="B5">
        <f>SUM(B7:B38)</f>
        <v>703</v>
      </c>
    </row>
    <row r="6" spans="1:4" ht="19.5" thickBot="1">
      <c r="A6" s="69" t="s">
        <v>134</v>
      </c>
      <c r="B6" s="72" t="s">
        <v>12</v>
      </c>
      <c r="C6" s="69" t="s">
        <v>6</v>
      </c>
      <c r="D6" s="65" t="s">
        <v>157</v>
      </c>
    </row>
    <row r="7" spans="1:4" ht="15">
      <c r="A7" s="49" t="s">
        <v>135</v>
      </c>
      <c r="B7" s="73">
        <v>15</v>
      </c>
      <c r="C7" s="51" t="s">
        <v>140</v>
      </c>
      <c r="D7" s="66" t="s">
        <v>156</v>
      </c>
    </row>
    <row r="8" spans="1:4" ht="15">
      <c r="A8" s="50" t="s">
        <v>136</v>
      </c>
      <c r="B8" s="74">
        <v>36</v>
      </c>
      <c r="C8" s="50" t="s">
        <v>141</v>
      </c>
      <c r="D8" s="67" t="s">
        <v>156</v>
      </c>
    </row>
    <row r="9" spans="1:4" ht="15">
      <c r="A9" s="50" t="s">
        <v>137</v>
      </c>
      <c r="B9" s="74">
        <v>30</v>
      </c>
      <c r="C9" s="50" t="s">
        <v>142</v>
      </c>
      <c r="D9" s="67" t="s">
        <v>155</v>
      </c>
    </row>
    <row r="10" spans="1:4" ht="15">
      <c r="A10" s="50" t="s">
        <v>138</v>
      </c>
      <c r="B10" s="74">
        <v>12</v>
      </c>
      <c r="C10" s="50" t="s">
        <v>143</v>
      </c>
      <c r="D10" s="67" t="s">
        <v>155</v>
      </c>
    </row>
    <row r="11" spans="1:4" ht="15">
      <c r="A11" s="50" t="s">
        <v>139</v>
      </c>
      <c r="B11" s="74">
        <v>10</v>
      </c>
      <c r="C11" s="50" t="s">
        <v>144</v>
      </c>
      <c r="D11" s="67" t="s">
        <v>155</v>
      </c>
    </row>
    <row r="12" spans="1:4" ht="15">
      <c r="A12" s="50"/>
      <c r="B12" s="74"/>
      <c r="C12" s="50"/>
      <c r="D12" s="67"/>
    </row>
    <row r="13" spans="1:4" ht="15">
      <c r="A13" s="50" t="s">
        <v>13</v>
      </c>
      <c r="B13" s="74"/>
      <c r="C13" s="50"/>
      <c r="D13" s="67" t="s">
        <v>155</v>
      </c>
    </row>
    <row r="14" spans="1:4" ht="15">
      <c r="A14" s="50" t="s">
        <v>14</v>
      </c>
      <c r="B14" s="74">
        <v>25</v>
      </c>
      <c r="C14" s="50" t="s">
        <v>145</v>
      </c>
      <c r="D14" s="67" t="s">
        <v>155</v>
      </c>
    </row>
    <row r="15" spans="1:4" ht="15">
      <c r="A15" s="50" t="s">
        <v>15</v>
      </c>
      <c r="B15" s="74">
        <v>3</v>
      </c>
      <c r="C15" s="50" t="s">
        <v>146</v>
      </c>
      <c r="D15" s="67" t="s">
        <v>155</v>
      </c>
    </row>
    <row r="16" spans="1:4" ht="15">
      <c r="A16" s="50" t="s">
        <v>16</v>
      </c>
      <c r="B16" s="74">
        <v>2</v>
      </c>
      <c r="C16" s="70" t="s">
        <v>147</v>
      </c>
      <c r="D16" s="67" t="s">
        <v>155</v>
      </c>
    </row>
    <row r="17" spans="1:4" ht="15">
      <c r="A17" s="50" t="s">
        <v>17</v>
      </c>
      <c r="B17" s="74"/>
      <c r="C17" s="59"/>
      <c r="D17" s="67" t="s">
        <v>155</v>
      </c>
    </row>
    <row r="18" spans="1:4" ht="15">
      <c r="A18" s="50" t="s">
        <v>148</v>
      </c>
      <c r="B18" s="74">
        <v>40</v>
      </c>
      <c r="C18" s="50" t="s">
        <v>146</v>
      </c>
      <c r="D18" s="67" t="s">
        <v>155</v>
      </c>
    </row>
    <row r="19" spans="1:4" ht="15">
      <c r="A19" s="50" t="s">
        <v>15</v>
      </c>
      <c r="B19" s="74">
        <v>5</v>
      </c>
      <c r="C19" s="50" t="s">
        <v>146</v>
      </c>
      <c r="D19" s="67" t="s">
        <v>155</v>
      </c>
    </row>
    <row r="20" spans="1:4" ht="15">
      <c r="A20" s="50" t="s">
        <v>18</v>
      </c>
      <c r="B20" s="74"/>
      <c r="C20" s="50"/>
      <c r="D20" s="67"/>
    </row>
    <row r="21" spans="1:4" ht="15">
      <c r="A21" s="50" t="s">
        <v>149</v>
      </c>
      <c r="B21" s="74">
        <v>70</v>
      </c>
      <c r="C21" s="50" t="s">
        <v>150</v>
      </c>
      <c r="D21" s="67" t="s">
        <v>156</v>
      </c>
    </row>
    <row r="22" spans="1:4" ht="15">
      <c r="A22" s="50" t="s">
        <v>19</v>
      </c>
      <c r="B22" s="74">
        <v>12</v>
      </c>
      <c r="C22" s="50"/>
      <c r="D22" s="67" t="s">
        <v>155</v>
      </c>
    </row>
    <row r="23" spans="1:4" ht="15">
      <c r="A23" s="50" t="s">
        <v>20</v>
      </c>
      <c r="B23" s="74"/>
      <c r="C23" s="50"/>
      <c r="D23" s="67" t="s">
        <v>155</v>
      </c>
    </row>
    <row r="24" spans="1:4" ht="15">
      <c r="A24" s="50" t="s">
        <v>21</v>
      </c>
      <c r="B24" s="74">
        <v>6</v>
      </c>
      <c r="C24" s="50"/>
      <c r="D24" s="67" t="s">
        <v>155</v>
      </c>
    </row>
    <row r="25" spans="1:4" ht="15">
      <c r="A25" s="50" t="s">
        <v>154</v>
      </c>
      <c r="B25" s="74">
        <v>170</v>
      </c>
      <c r="C25" s="59"/>
      <c r="D25" s="67" t="s">
        <v>156</v>
      </c>
    </row>
    <row r="26" spans="1:4" ht="15">
      <c r="A26" s="50" t="s">
        <v>22</v>
      </c>
      <c r="B26" s="74">
        <v>20</v>
      </c>
      <c r="C26" s="50" t="s">
        <v>151</v>
      </c>
      <c r="D26" s="67" t="s">
        <v>156</v>
      </c>
    </row>
    <row r="27" spans="1:4" ht="15">
      <c r="A27" s="50" t="s">
        <v>23</v>
      </c>
      <c r="B27" s="74">
        <v>5</v>
      </c>
      <c r="C27" s="50"/>
      <c r="D27" s="67" t="s">
        <v>155</v>
      </c>
    </row>
    <row r="28" spans="1:4" ht="15">
      <c r="A28" s="50" t="s">
        <v>24</v>
      </c>
      <c r="B28" s="74">
        <v>25</v>
      </c>
      <c r="C28" s="50"/>
      <c r="D28" s="67" t="s">
        <v>155</v>
      </c>
    </row>
    <row r="29" spans="1:4" ht="15">
      <c r="A29" s="50" t="s">
        <v>25</v>
      </c>
      <c r="B29" s="74">
        <v>30</v>
      </c>
      <c r="C29" s="50"/>
      <c r="D29" s="67" t="s">
        <v>155</v>
      </c>
    </row>
    <row r="30" spans="1:4" ht="15">
      <c r="A30" s="50" t="s">
        <v>26</v>
      </c>
      <c r="B30" s="74"/>
      <c r="C30" s="50"/>
      <c r="D30" s="67" t="s">
        <v>155</v>
      </c>
    </row>
    <row r="31" spans="1:4" ht="15">
      <c r="A31" s="50" t="s">
        <v>27</v>
      </c>
      <c r="B31" s="74">
        <v>30</v>
      </c>
      <c r="C31" s="50"/>
      <c r="D31" s="67" t="s">
        <v>155</v>
      </c>
    </row>
    <row r="32" spans="1:4" ht="15">
      <c r="A32" s="50" t="s">
        <v>28</v>
      </c>
      <c r="B32" s="74"/>
      <c r="C32" s="50"/>
      <c r="D32" s="67" t="s">
        <v>155</v>
      </c>
    </row>
    <row r="33" spans="1:4" ht="15">
      <c r="A33" s="50" t="s">
        <v>29</v>
      </c>
      <c r="B33" s="74">
        <v>35</v>
      </c>
      <c r="C33" s="50"/>
      <c r="D33" s="67" t="s">
        <v>156</v>
      </c>
    </row>
    <row r="34" spans="1:4" ht="15">
      <c r="A34" s="50" t="s">
        <v>30</v>
      </c>
      <c r="B34" s="74"/>
      <c r="C34" s="50"/>
      <c r="D34" s="67" t="s">
        <v>155</v>
      </c>
    </row>
    <row r="35" spans="1:4" ht="15">
      <c r="A35" s="50" t="s">
        <v>31</v>
      </c>
      <c r="B35" s="74">
        <v>40</v>
      </c>
      <c r="C35" s="50"/>
      <c r="D35" s="67" t="s">
        <v>155</v>
      </c>
    </row>
    <row r="36" spans="1:4" ht="15">
      <c r="A36" s="50" t="s">
        <v>32</v>
      </c>
      <c r="B36" s="74">
        <v>12</v>
      </c>
      <c r="C36" s="50"/>
      <c r="D36" s="67" t="s">
        <v>155</v>
      </c>
    </row>
    <row r="37" spans="1:4" ht="15">
      <c r="A37" s="50" t="s">
        <v>153</v>
      </c>
      <c r="B37" s="74">
        <v>20</v>
      </c>
      <c r="C37" s="50"/>
      <c r="D37" s="67" t="s">
        <v>156</v>
      </c>
    </row>
    <row r="38" spans="1:4" ht="15.75" thickBot="1">
      <c r="A38" s="61" t="s">
        <v>152</v>
      </c>
      <c r="B38" s="75">
        <v>50</v>
      </c>
      <c r="C38" s="50"/>
      <c r="D38" s="67"/>
    </row>
    <row r="39" spans="1:4" ht="15.75" thickBot="1">
      <c r="A39" s="77" t="s">
        <v>33</v>
      </c>
      <c r="B39" s="76">
        <f>SUM(B7:B38)</f>
        <v>703</v>
      </c>
      <c r="C39" s="20"/>
      <c r="D39" s="68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D15"/>
  <sheetViews>
    <sheetView rightToLeft="1" zoomScalePageLayoutView="0" workbookViewId="0" topLeftCell="A1">
      <selection activeCell="D9" sqref="D9"/>
    </sheetView>
  </sheetViews>
  <sheetFormatPr defaultColWidth="9.140625" defaultRowHeight="15"/>
  <cols>
    <col min="1" max="1" width="29.140625" style="0" bestFit="1" customWidth="1"/>
    <col min="2" max="2" width="17.00390625" style="0" customWidth="1"/>
    <col min="3" max="4" width="17.8515625" style="0" customWidth="1"/>
  </cols>
  <sheetData>
    <row r="6" ht="15.75" thickBot="1"/>
    <row r="7" spans="1:4" ht="32.25" customHeight="1" thickBot="1">
      <c r="A7" s="69" t="s">
        <v>35</v>
      </c>
      <c r="B7" s="78" t="s">
        <v>36</v>
      </c>
      <c r="C7" s="32" t="s">
        <v>37</v>
      </c>
      <c r="D7" s="33" t="s">
        <v>38</v>
      </c>
    </row>
    <row r="8" spans="1:4" ht="21" customHeight="1">
      <c r="A8" s="49" t="s">
        <v>39</v>
      </c>
      <c r="B8" s="90">
        <f>D8*0.4</f>
        <v>5336389.44</v>
      </c>
      <c r="C8" s="89">
        <f>D8*0.6</f>
        <v>8004584.159999999</v>
      </c>
      <c r="D8" s="88">
        <f>'جدول المنتجات'!F4*328</f>
        <v>13340973.6</v>
      </c>
    </row>
    <row r="9" spans="1:4" ht="22.5" customHeight="1" thickBot="1">
      <c r="A9" s="20" t="s">
        <v>40</v>
      </c>
      <c r="B9" s="17">
        <f>المصروفات!B5</f>
        <v>5155401.082</v>
      </c>
      <c r="C9" s="17">
        <f>المصروفات!C5</f>
        <v>7156485.5148</v>
      </c>
      <c r="D9" s="17">
        <f>المصروفات!D5</f>
        <v>10043922.164</v>
      </c>
    </row>
    <row r="10" spans="1:4" ht="25.5" customHeight="1" thickBot="1">
      <c r="A10" s="63" t="s">
        <v>41</v>
      </c>
      <c r="B10" s="91">
        <f>B8-B9</f>
        <v>180988.358</v>
      </c>
      <c r="C10" s="91">
        <f>C8-C9</f>
        <v>848098.6451999992</v>
      </c>
      <c r="D10" s="91">
        <f>D8-D9</f>
        <v>3297051.435999999</v>
      </c>
    </row>
    <row r="11" spans="1:4" ht="20.25" customHeight="1" thickBot="1">
      <c r="A11" s="49" t="s">
        <v>42</v>
      </c>
      <c r="B11" s="90">
        <f>B10*0.02</f>
        <v>3619.7671600000003</v>
      </c>
      <c r="C11" s="90">
        <f>C10*0.02</f>
        <v>16961.972903999984</v>
      </c>
      <c r="D11" s="90">
        <f>D10*0.02</f>
        <v>65941.02871999997</v>
      </c>
    </row>
    <row r="12" spans="1:4" ht="24" customHeight="1" thickBot="1">
      <c r="A12" s="20" t="s">
        <v>43</v>
      </c>
      <c r="B12" s="90">
        <f>B10*0.03</f>
        <v>5429.65074</v>
      </c>
      <c r="C12" s="90">
        <f>C10*0.03</f>
        <v>25442.959355999974</v>
      </c>
      <c r="D12" s="90">
        <f>D10*0.03</f>
        <v>98911.54307999996</v>
      </c>
    </row>
    <row r="13" spans="1:4" ht="21.75" customHeight="1" thickBot="1">
      <c r="A13" s="63" t="s">
        <v>44</v>
      </c>
      <c r="B13" s="91">
        <f>B10/B9%</f>
        <v>3.51065523557261</v>
      </c>
      <c r="C13" s="91">
        <f>C10/C9%</f>
        <v>11.850770094428126</v>
      </c>
      <c r="D13" s="91">
        <f>D10/D9%</f>
        <v>32.826333997464445</v>
      </c>
    </row>
    <row r="14" spans="1:4" ht="26.25" customHeight="1" thickBot="1">
      <c r="A14" s="63" t="s">
        <v>45</v>
      </c>
      <c r="B14" s="91">
        <f>B10-B11-B12</f>
        <v>171938.9401</v>
      </c>
      <c r="C14" s="91">
        <f>C10-C11-C12</f>
        <v>805693.7129399993</v>
      </c>
      <c r="D14" s="91">
        <f>D10-D11-D12</f>
        <v>3132198.8641999993</v>
      </c>
    </row>
    <row r="15" spans="1:4" ht="23.25" customHeight="1" thickBot="1">
      <c r="A15" s="63" t="s">
        <v>46</v>
      </c>
      <c r="B15" s="91">
        <f>B14/B9%</f>
        <v>3.3351224737939797</v>
      </c>
      <c r="C15" s="91">
        <f>C14/C9%</f>
        <v>11.258231589706721</v>
      </c>
      <c r="D15" s="91">
        <f>D14/D9%</f>
        <v>31.185017297591227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9"/>
  <sheetViews>
    <sheetView rightToLeft="1" zoomScalePageLayoutView="0" workbookViewId="0" topLeftCell="A19">
      <selection activeCell="C12" sqref="C12"/>
    </sheetView>
  </sheetViews>
  <sheetFormatPr defaultColWidth="9.140625" defaultRowHeight="15"/>
  <cols>
    <col min="1" max="1" width="12.8515625" style="0" bestFit="1" customWidth="1"/>
    <col min="2" max="2" width="11.8515625" style="0" bestFit="1" customWidth="1"/>
    <col min="3" max="3" width="19.421875" style="0" bestFit="1" customWidth="1"/>
    <col min="4" max="4" width="23.00390625" style="0" bestFit="1" customWidth="1"/>
    <col min="5" max="5" width="30.8515625" style="0" customWidth="1"/>
  </cols>
  <sheetData>
    <row r="3" spans="2:5" ht="15">
      <c r="B3" s="97"/>
      <c r="C3" s="97"/>
      <c r="D3" s="97"/>
      <c r="E3" s="97"/>
    </row>
    <row r="4" spans="2:5" ht="15">
      <c r="B4" s="97"/>
      <c r="C4" s="97"/>
      <c r="D4" s="97"/>
      <c r="E4" s="97"/>
    </row>
    <row r="5" ht="15.75" thickBot="1"/>
    <row r="6" spans="1:5" s="29" customFormat="1" ht="19.5" thickBot="1">
      <c r="A6" s="42" t="s">
        <v>47</v>
      </c>
      <c r="B6" s="43" t="s">
        <v>48</v>
      </c>
      <c r="C6" s="43" t="s">
        <v>49</v>
      </c>
      <c r="D6" s="43" t="s">
        <v>50</v>
      </c>
      <c r="E6" s="44" t="s">
        <v>35</v>
      </c>
    </row>
    <row r="7" spans="1:5" ht="15">
      <c r="A7" s="35"/>
      <c r="B7" s="39"/>
      <c r="C7" s="39"/>
      <c r="D7" s="52"/>
      <c r="E7" s="58" t="s">
        <v>69</v>
      </c>
    </row>
    <row r="8" spans="1:5" ht="19.5" thickBot="1">
      <c r="A8" s="6"/>
      <c r="B8" s="1">
        <v>0</v>
      </c>
      <c r="C8" s="8">
        <f>D8*0.01</f>
        <v>4000</v>
      </c>
      <c r="D8" s="92">
        <f>SUM(D9:D10)*1000</f>
        <v>400000</v>
      </c>
      <c r="E8" s="59" t="s">
        <v>70</v>
      </c>
    </row>
    <row r="9" spans="1:5" ht="15.75" thickBot="1">
      <c r="A9" s="6"/>
      <c r="B9" s="1">
        <v>0</v>
      </c>
      <c r="C9" s="8"/>
      <c r="D9" s="53">
        <v>50</v>
      </c>
      <c r="E9" s="50" t="s">
        <v>51</v>
      </c>
    </row>
    <row r="10" spans="1:5" ht="15.75" thickBot="1">
      <c r="A10" s="6"/>
      <c r="B10" s="1">
        <v>0</v>
      </c>
      <c r="C10" s="8"/>
      <c r="D10" s="53">
        <v>350</v>
      </c>
      <c r="E10" s="50" t="s">
        <v>52</v>
      </c>
    </row>
    <row r="11" spans="1:5" ht="19.5" thickBot="1">
      <c r="A11" s="6"/>
      <c r="B11" s="1">
        <v>0</v>
      </c>
      <c r="C11" s="8">
        <f>D11*0.06</f>
        <v>69480</v>
      </c>
      <c r="D11" s="92">
        <f>SUM(D12:D15)*1000</f>
        <v>1158000</v>
      </c>
      <c r="E11" s="93" t="s">
        <v>53</v>
      </c>
    </row>
    <row r="12" spans="1:5" ht="15.75" thickBot="1">
      <c r="A12" s="6"/>
      <c r="B12" s="1">
        <v>0</v>
      </c>
      <c r="C12" s="8">
        <f>D12*0.06</f>
        <v>42.18</v>
      </c>
      <c r="D12" s="53">
        <f>'قائمه المعدات'!B5</f>
        <v>703</v>
      </c>
      <c r="E12" s="50" t="s">
        <v>54</v>
      </c>
    </row>
    <row r="13" spans="1:5" ht="15.75" thickBot="1">
      <c r="A13" s="6"/>
      <c r="B13" s="1">
        <v>0</v>
      </c>
      <c r="C13" s="8">
        <f>D13*0.12</f>
        <v>46.8</v>
      </c>
      <c r="D13" s="53">
        <f>'قائمه السيارات والمبيعات'!A5</f>
        <v>390</v>
      </c>
      <c r="E13" s="50" t="s">
        <v>34</v>
      </c>
    </row>
    <row r="14" spans="1:5" ht="15.75" thickBot="1">
      <c r="A14" s="6"/>
      <c r="B14" s="1">
        <v>0</v>
      </c>
      <c r="C14" s="8">
        <f>D14*0.1</f>
        <v>5</v>
      </c>
      <c r="D14" s="53">
        <v>50</v>
      </c>
      <c r="E14" s="50" t="s">
        <v>55</v>
      </c>
    </row>
    <row r="15" spans="1:5" ht="15.75" thickBot="1">
      <c r="A15" s="6"/>
      <c r="B15" s="1">
        <v>0</v>
      </c>
      <c r="C15" s="8">
        <f>D15*0.12</f>
        <v>1.7999999999999998</v>
      </c>
      <c r="D15" s="53">
        <v>15</v>
      </c>
      <c r="E15" s="50" t="s">
        <v>56</v>
      </c>
    </row>
    <row r="16" spans="1:5" ht="19.5" thickBot="1">
      <c r="A16" s="7"/>
      <c r="B16" s="8">
        <v>0</v>
      </c>
      <c r="C16" s="8">
        <f>D16*0.12</f>
        <v>1440</v>
      </c>
      <c r="D16" s="94">
        <v>12000</v>
      </c>
      <c r="E16" s="20" t="s">
        <v>57</v>
      </c>
    </row>
    <row r="17" spans="1:5" ht="15">
      <c r="A17" s="30"/>
      <c r="B17" s="31"/>
      <c r="C17" s="31"/>
      <c r="D17" s="55">
        <f>SUM(D18:D22)</f>
        <v>800462.5</v>
      </c>
      <c r="E17" s="60" t="s">
        <v>68</v>
      </c>
    </row>
    <row r="18" spans="1:5" ht="15">
      <c r="A18" s="6"/>
      <c r="B18" s="1"/>
      <c r="C18" s="1"/>
      <c r="D18" s="53">
        <f>'قائمة الخامات'!E6*60/3</f>
        <v>595010</v>
      </c>
      <c r="E18" s="50" t="s">
        <v>58</v>
      </c>
    </row>
    <row r="19" spans="1:5" ht="15">
      <c r="A19" s="6"/>
      <c r="B19" s="1"/>
      <c r="C19" s="1"/>
      <c r="D19" s="53">
        <f>'العمالة المطلوبة وتكلفتها'!D5*3</f>
        <v>56700</v>
      </c>
      <c r="E19" s="50" t="s">
        <v>59</v>
      </c>
    </row>
    <row r="20" spans="1:5" ht="15">
      <c r="A20" s="6"/>
      <c r="B20" s="1"/>
      <c r="C20" s="1"/>
      <c r="D20" s="53"/>
      <c r="E20" s="50" t="s">
        <v>60</v>
      </c>
    </row>
    <row r="21" spans="1:5" ht="15">
      <c r="A21" s="6"/>
      <c r="B21" s="1"/>
      <c r="C21" s="1"/>
      <c r="D21" s="53"/>
      <c r="E21" s="50" t="s">
        <v>61</v>
      </c>
    </row>
    <row r="22" spans="1:5" ht="15.75" thickBot="1">
      <c r="A22" s="36"/>
      <c r="B22" s="41"/>
      <c r="C22" s="41"/>
      <c r="D22" s="56">
        <f>D18*0.25</f>
        <v>148752.5</v>
      </c>
      <c r="E22" s="61" t="s">
        <v>62</v>
      </c>
    </row>
    <row r="23" spans="1:5" ht="15">
      <c r="A23" s="35"/>
      <c r="B23" s="39"/>
      <c r="C23" s="39"/>
      <c r="D23" s="52">
        <f>D18-D24</f>
        <v>446257.5</v>
      </c>
      <c r="E23" s="62" t="s">
        <v>71</v>
      </c>
    </row>
    <row r="24" spans="1:5" ht="15">
      <c r="A24" s="6"/>
      <c r="B24" s="1"/>
      <c r="C24" s="1"/>
      <c r="D24" s="53">
        <f>D22</f>
        <v>148752.5</v>
      </c>
      <c r="E24" s="50" t="s">
        <v>72</v>
      </c>
    </row>
    <row r="25" spans="1:5" ht="15.75" thickBot="1">
      <c r="A25" s="7"/>
      <c r="B25" s="8"/>
      <c r="C25" s="8"/>
      <c r="D25" s="54"/>
      <c r="E25" s="20" t="s">
        <v>63</v>
      </c>
    </row>
    <row r="26" spans="1:5" ht="24" thickBot="1">
      <c r="A26" s="37"/>
      <c r="B26" s="40"/>
      <c r="C26" s="40"/>
      <c r="D26" s="96">
        <f>D18+D19+D8+D11+D16</f>
        <v>2221710</v>
      </c>
      <c r="E26" s="63" t="s">
        <v>64</v>
      </c>
    </row>
    <row r="27" spans="1:5" ht="15.75" thickBot="1">
      <c r="A27" s="37"/>
      <c r="B27" s="40"/>
      <c r="C27" s="40"/>
      <c r="D27" s="57">
        <f>D18+D19</f>
        <v>651710</v>
      </c>
      <c r="E27" s="63" t="s">
        <v>65</v>
      </c>
    </row>
    <row r="28" spans="1:5" ht="21">
      <c r="A28" s="30"/>
      <c r="B28" s="31"/>
      <c r="C28" s="31"/>
      <c r="D28" s="95">
        <f>D26+D22</f>
        <v>2370462.5</v>
      </c>
      <c r="E28" s="60" t="s">
        <v>66</v>
      </c>
    </row>
    <row r="29" spans="1:5" ht="15.75" thickBot="1">
      <c r="A29" s="7"/>
      <c r="B29" s="8"/>
      <c r="C29" s="8"/>
      <c r="D29" s="54"/>
      <c r="E29" s="64" t="s">
        <v>67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D12"/>
  <sheetViews>
    <sheetView rightToLeft="1" zoomScalePageLayoutView="0" workbookViewId="0" topLeftCell="A1">
      <selection activeCell="A13" sqref="A13"/>
    </sheetView>
  </sheetViews>
  <sheetFormatPr defaultColWidth="9.140625" defaultRowHeight="15"/>
  <cols>
    <col min="1" max="1" width="22.28125" style="0" bestFit="1" customWidth="1"/>
    <col min="3" max="3" width="12.28125" style="0" customWidth="1"/>
    <col min="4" max="4" width="13.421875" style="0" bestFit="1" customWidth="1"/>
  </cols>
  <sheetData>
    <row r="5" spans="1:4" ht="15.75" thickBot="1">
      <c r="A5">
        <f>D5*12</f>
        <v>226800</v>
      </c>
      <c r="D5">
        <f>SUM(D7:D12)</f>
        <v>18900</v>
      </c>
    </row>
    <row r="6" spans="1:4" ht="19.5" thickBot="1">
      <c r="A6" s="48" t="s">
        <v>35</v>
      </c>
      <c r="B6" s="46" t="s">
        <v>73</v>
      </c>
      <c r="C6" s="43" t="s">
        <v>74</v>
      </c>
      <c r="D6" s="44" t="s">
        <v>75</v>
      </c>
    </row>
    <row r="7" spans="1:4" ht="15">
      <c r="A7" s="51" t="s">
        <v>76</v>
      </c>
      <c r="B7" s="34">
        <v>1</v>
      </c>
      <c r="C7" s="31">
        <v>5000</v>
      </c>
      <c r="D7" s="11">
        <f>C7*B7</f>
        <v>5000</v>
      </c>
    </row>
    <row r="8" spans="1:4" ht="15">
      <c r="A8" s="50" t="s">
        <v>77</v>
      </c>
      <c r="B8" s="16">
        <v>2</v>
      </c>
      <c r="C8" s="1">
        <v>1200</v>
      </c>
      <c r="D8" s="11">
        <f>C8*B8</f>
        <v>2400</v>
      </c>
    </row>
    <row r="9" spans="1:4" ht="15">
      <c r="A9" s="50" t="s">
        <v>78</v>
      </c>
      <c r="B9" s="16">
        <v>10</v>
      </c>
      <c r="C9" s="1">
        <v>750</v>
      </c>
      <c r="D9" s="11">
        <f>C9*B9</f>
        <v>7500</v>
      </c>
    </row>
    <row r="10" spans="1:4" ht="15">
      <c r="A10" s="50" t="s">
        <v>79</v>
      </c>
      <c r="B10" s="16">
        <v>1</v>
      </c>
      <c r="C10" s="1">
        <v>600</v>
      </c>
      <c r="D10" s="11">
        <f>C10*B10</f>
        <v>600</v>
      </c>
    </row>
    <row r="11" spans="1:4" ht="15">
      <c r="A11" s="50" t="s">
        <v>114</v>
      </c>
      <c r="B11" s="16">
        <v>3</v>
      </c>
      <c r="C11" s="1">
        <v>600</v>
      </c>
      <c r="D11" s="11">
        <f>C11*B11</f>
        <v>1800</v>
      </c>
    </row>
    <row r="12" spans="1:4" ht="15.75" thickBot="1">
      <c r="A12" s="20" t="s">
        <v>80</v>
      </c>
      <c r="B12" s="17">
        <v>2</v>
      </c>
      <c r="C12" s="8">
        <v>800</v>
      </c>
      <c r="D12" s="11">
        <f>C12*B12</f>
        <v>1600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23"/>
  <sheetViews>
    <sheetView rightToLeft="1" tabSelected="1" zoomScalePageLayoutView="0" workbookViewId="0" topLeftCell="A1">
      <selection activeCell="D5" sqref="D5"/>
    </sheetView>
  </sheetViews>
  <sheetFormatPr defaultColWidth="9.140625" defaultRowHeight="15"/>
  <cols>
    <col min="1" max="1" width="17.421875" style="0" customWidth="1"/>
    <col min="2" max="2" width="14.00390625" style="0" customWidth="1"/>
    <col min="3" max="3" width="10.7109375" style="0" customWidth="1"/>
    <col min="4" max="4" width="14.28125" style="0" bestFit="1" customWidth="1"/>
    <col min="5" max="5" width="15.28125" style="0" customWidth="1"/>
  </cols>
  <sheetData>
    <row r="5" spans="1:4" ht="15.75" thickBot="1">
      <c r="A5" t="s">
        <v>126</v>
      </c>
      <c r="B5">
        <f>SUM(B7:B23)</f>
        <v>5155401.082</v>
      </c>
      <c r="C5">
        <f>SUM(C7:C23)</f>
        <v>7156485.5148</v>
      </c>
      <c r="D5">
        <f>SUM(D7:D23)</f>
        <v>10043922.164</v>
      </c>
    </row>
    <row r="6" spans="1:5" ht="19.5" thickBot="1">
      <c r="A6" s="48" t="s">
        <v>35</v>
      </c>
      <c r="B6" s="46" t="s">
        <v>122</v>
      </c>
      <c r="C6" s="43" t="s">
        <v>121</v>
      </c>
      <c r="D6" s="42" t="s">
        <v>123</v>
      </c>
      <c r="E6" s="44" t="s">
        <v>6</v>
      </c>
    </row>
    <row r="7" spans="1:5" ht="15.75" thickBot="1">
      <c r="A7" s="50" t="s">
        <v>117</v>
      </c>
      <c r="B7" s="47">
        <f>D7*0.5</f>
        <v>4879082</v>
      </c>
      <c r="C7" s="39">
        <f>D7*0.7</f>
        <v>6830714.8</v>
      </c>
      <c r="D7" s="39">
        <f>'قائمة الخامات'!A6</f>
        <v>9758164</v>
      </c>
      <c r="E7" s="5"/>
    </row>
    <row r="8" spans="1:5" ht="15.75" thickBot="1">
      <c r="A8" s="50" t="s">
        <v>118</v>
      </c>
      <c r="B8" s="16">
        <f>D8*0.6</f>
        <v>14400</v>
      </c>
      <c r="C8" s="39">
        <f>D8*0.7</f>
        <v>16800</v>
      </c>
      <c r="D8" s="39">
        <f>2000*12</f>
        <v>24000</v>
      </c>
      <c r="E8" s="5"/>
    </row>
    <row r="9" spans="1:5" ht="15.75" thickBot="1">
      <c r="A9" s="50" t="s">
        <v>119</v>
      </c>
      <c r="B9" s="16">
        <f>C9</f>
        <v>4200</v>
      </c>
      <c r="C9" s="39">
        <f>D9*0.7</f>
        <v>4200</v>
      </c>
      <c r="D9" s="39">
        <v>6000</v>
      </c>
      <c r="E9" s="5"/>
    </row>
    <row r="10" spans="1:5" ht="15.75" thickBot="1">
      <c r="A10" s="50" t="s">
        <v>120</v>
      </c>
      <c r="B10" s="16">
        <f>C10</f>
        <v>9240</v>
      </c>
      <c r="C10" s="39">
        <f>D10*0.7</f>
        <v>9240</v>
      </c>
      <c r="D10" s="39">
        <v>13200</v>
      </c>
      <c r="E10" s="5"/>
    </row>
    <row r="11" spans="1:5" ht="15.75" thickBot="1">
      <c r="A11" s="50" t="s">
        <v>124</v>
      </c>
      <c r="B11" s="16">
        <f>240600</f>
        <v>240600</v>
      </c>
      <c r="C11" s="39">
        <v>284500</v>
      </c>
      <c r="D11" s="39">
        <f>'العمالة المطلوبة وتكلفتها'!A5</f>
        <v>226800</v>
      </c>
      <c r="E11" s="5"/>
    </row>
    <row r="12" spans="1:5" ht="15.75" thickBot="1">
      <c r="A12" s="50" t="s">
        <v>125</v>
      </c>
      <c r="B12" s="16">
        <f>D12*0.5</f>
        <v>3000</v>
      </c>
      <c r="C12" s="39">
        <f>D12*0.7</f>
        <v>4200</v>
      </c>
      <c r="D12" s="39">
        <v>6000</v>
      </c>
      <c r="E12" s="5"/>
    </row>
    <row r="13" spans="1:5" ht="15">
      <c r="A13" s="50" t="s">
        <v>130</v>
      </c>
      <c r="B13" s="39">
        <f>B7*0.001</f>
        <v>4879.082</v>
      </c>
      <c r="C13" s="39">
        <f>C7*0.001</f>
        <v>6830.7148</v>
      </c>
      <c r="D13" s="39">
        <f>D7*0.001</f>
        <v>9758.164</v>
      </c>
      <c r="E13" s="5"/>
    </row>
    <row r="14" spans="1:5" ht="15">
      <c r="A14" s="50"/>
      <c r="B14" s="16"/>
      <c r="C14" s="1"/>
      <c r="D14" s="1"/>
      <c r="E14" s="5"/>
    </row>
    <row r="15" spans="1:5" ht="15">
      <c r="A15" s="50"/>
      <c r="B15" s="16"/>
      <c r="C15" s="1"/>
      <c r="D15" s="1"/>
      <c r="E15" s="5"/>
    </row>
    <row r="16" spans="1:5" ht="15">
      <c r="A16" s="50"/>
      <c r="B16" s="16"/>
      <c r="C16" s="1"/>
      <c r="D16" s="1"/>
      <c r="E16" s="5"/>
    </row>
    <row r="17" spans="1:5" ht="15">
      <c r="A17" s="50"/>
      <c r="B17" s="16"/>
      <c r="C17" s="1"/>
      <c r="D17" s="1"/>
      <c r="E17" s="5"/>
    </row>
    <row r="18" spans="1:5" ht="15">
      <c r="A18" s="50"/>
      <c r="B18" s="16"/>
      <c r="C18" s="1"/>
      <c r="D18" s="1"/>
      <c r="E18" s="5"/>
    </row>
    <row r="19" spans="1:5" ht="15">
      <c r="A19" s="50"/>
      <c r="B19" s="16"/>
      <c r="C19" s="1"/>
      <c r="D19" s="1"/>
      <c r="E19" s="5"/>
    </row>
    <row r="20" spans="1:5" ht="15">
      <c r="A20" s="50"/>
      <c r="B20" s="16"/>
      <c r="C20" s="1"/>
      <c r="D20" s="1"/>
      <c r="E20" s="5"/>
    </row>
    <row r="21" spans="1:5" ht="15">
      <c r="A21" s="50"/>
      <c r="B21" s="16"/>
      <c r="C21" s="1"/>
      <c r="D21" s="1"/>
      <c r="E21" s="5"/>
    </row>
    <row r="22" spans="1:5" ht="15">
      <c r="A22" s="50"/>
      <c r="B22" s="16"/>
      <c r="C22" s="1"/>
      <c r="D22" s="1"/>
      <c r="E22" s="5"/>
    </row>
    <row r="23" spans="1:5" ht="15.75" thickBot="1">
      <c r="A23" s="20"/>
      <c r="B23" s="17"/>
      <c r="C23" s="8"/>
      <c r="D23" s="8"/>
      <c r="E2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39"/>
  <sheetViews>
    <sheetView rightToLeft="1" zoomScalePageLayoutView="0" workbookViewId="0" topLeftCell="B1">
      <selection activeCell="A6" sqref="A6"/>
    </sheetView>
  </sheetViews>
  <sheetFormatPr defaultColWidth="9.140625" defaultRowHeight="15"/>
  <cols>
    <col min="1" max="1" width="30.421875" style="0" bestFit="1" customWidth="1"/>
    <col min="2" max="2" width="7.00390625" style="0" customWidth="1"/>
    <col min="3" max="3" width="14.00390625" style="0" bestFit="1" customWidth="1"/>
    <col min="4" max="4" width="11.28125" style="0" bestFit="1" customWidth="1"/>
    <col min="5" max="5" width="13.28125" style="0" customWidth="1"/>
  </cols>
  <sheetData>
    <row r="6" spans="1:5" ht="15.75" thickBot="1">
      <c r="A6">
        <f>E6*328</f>
        <v>9758164</v>
      </c>
      <c r="E6">
        <f>SUM(E9:E38)</f>
        <v>29750.5</v>
      </c>
    </row>
    <row r="7" spans="1:5" ht="15.75" thickBot="1">
      <c r="A7" s="82" t="s">
        <v>81</v>
      </c>
      <c r="B7" s="81" t="s">
        <v>82</v>
      </c>
      <c r="C7" s="79" t="s">
        <v>83</v>
      </c>
      <c r="D7" s="79" t="s">
        <v>84</v>
      </c>
      <c r="E7" s="80" t="s">
        <v>47</v>
      </c>
    </row>
    <row r="8" spans="1:9" ht="15">
      <c r="A8" s="83" t="s">
        <v>85</v>
      </c>
      <c r="B8" s="34" t="s">
        <v>112</v>
      </c>
      <c r="C8" s="31"/>
      <c r="E8" s="31"/>
      <c r="H8">
        <f>SUM(H9:H12)</f>
        <v>245.85</v>
      </c>
      <c r="I8">
        <f>H8/3000</f>
        <v>0.08195</v>
      </c>
    </row>
    <row r="9" spans="1:8" ht="15">
      <c r="A9" s="50" t="s">
        <v>129</v>
      </c>
      <c r="B9" s="16" t="s">
        <v>112</v>
      </c>
      <c r="C9" s="1">
        <v>2.25</v>
      </c>
      <c r="D9" s="31">
        <v>2150</v>
      </c>
      <c r="E9" s="41">
        <f aca="true" t="shared" si="0" ref="E9:E37">D9*C9</f>
        <v>4837.5</v>
      </c>
      <c r="H9">
        <f>D9*0.037</f>
        <v>79.55</v>
      </c>
    </row>
    <row r="10" spans="1:8" ht="15">
      <c r="A10" s="50" t="s">
        <v>128</v>
      </c>
      <c r="B10" s="16" t="s">
        <v>112</v>
      </c>
      <c r="C10" s="1">
        <v>1.9</v>
      </c>
      <c r="D10" s="1">
        <v>2960</v>
      </c>
      <c r="E10" s="41">
        <f t="shared" si="0"/>
        <v>5624</v>
      </c>
      <c r="H10">
        <f>D10*0.03</f>
        <v>88.8</v>
      </c>
    </row>
    <row r="11" spans="1:8" ht="15">
      <c r="A11" s="50" t="s">
        <v>86</v>
      </c>
      <c r="B11" s="16" t="s">
        <v>112</v>
      </c>
      <c r="C11" s="1">
        <v>21</v>
      </c>
      <c r="D11" s="1">
        <v>125</v>
      </c>
      <c r="E11" s="41">
        <f t="shared" si="0"/>
        <v>2625</v>
      </c>
      <c r="H11">
        <f>D11*0.34</f>
        <v>42.5</v>
      </c>
    </row>
    <row r="12" spans="1:8" ht="15">
      <c r="A12" s="50" t="s">
        <v>127</v>
      </c>
      <c r="B12" s="16" t="s">
        <v>112</v>
      </c>
      <c r="C12" s="1">
        <v>41</v>
      </c>
      <c r="D12" s="1">
        <v>50</v>
      </c>
      <c r="E12" s="41">
        <f t="shared" si="0"/>
        <v>2050</v>
      </c>
      <c r="H12">
        <f>D12*0.7</f>
        <v>35</v>
      </c>
    </row>
    <row r="13" spans="1:5" ht="15">
      <c r="A13" s="50" t="s">
        <v>87</v>
      </c>
      <c r="B13" s="16" t="s">
        <v>112</v>
      </c>
      <c r="C13" s="85">
        <v>12</v>
      </c>
      <c r="D13" s="1">
        <v>282</v>
      </c>
      <c r="E13" s="41">
        <f t="shared" si="0"/>
        <v>3384</v>
      </c>
    </row>
    <row r="14" spans="1:5" ht="15">
      <c r="A14" s="50" t="s">
        <v>88</v>
      </c>
      <c r="B14" s="16" t="s">
        <v>112</v>
      </c>
      <c r="C14" s="1">
        <v>7.75</v>
      </c>
      <c r="D14" s="1">
        <v>258</v>
      </c>
      <c r="E14" s="41">
        <f t="shared" si="0"/>
        <v>1999.5</v>
      </c>
    </row>
    <row r="15" spans="1:5" ht="15">
      <c r="A15" s="50" t="s">
        <v>89</v>
      </c>
      <c r="B15" s="16" t="s">
        <v>112</v>
      </c>
      <c r="C15" s="1">
        <v>3</v>
      </c>
      <c r="D15" s="1">
        <v>7.5</v>
      </c>
      <c r="E15" s="41">
        <f t="shared" si="0"/>
        <v>22.5</v>
      </c>
    </row>
    <row r="16" spans="1:5" ht="15">
      <c r="A16" s="50" t="s">
        <v>90</v>
      </c>
      <c r="B16" s="16" t="s">
        <v>112</v>
      </c>
      <c r="C16" s="1">
        <v>40</v>
      </c>
      <c r="D16" s="1">
        <v>8</v>
      </c>
      <c r="E16" s="41">
        <f t="shared" si="0"/>
        <v>320</v>
      </c>
    </row>
    <row r="17" spans="1:5" ht="15">
      <c r="A17" s="50" t="s">
        <v>91</v>
      </c>
      <c r="B17" s="16" t="s">
        <v>112</v>
      </c>
      <c r="C17" s="1">
        <v>0.55</v>
      </c>
      <c r="D17" s="1">
        <v>150</v>
      </c>
      <c r="E17" s="41">
        <f t="shared" si="0"/>
        <v>82.5</v>
      </c>
    </row>
    <row r="18" spans="1:5" ht="15">
      <c r="A18" s="50" t="s">
        <v>92</v>
      </c>
      <c r="B18" s="16" t="s">
        <v>112</v>
      </c>
      <c r="C18" s="1">
        <v>0.32</v>
      </c>
      <c r="D18" s="1">
        <v>105</v>
      </c>
      <c r="E18" s="41">
        <f t="shared" si="0"/>
        <v>33.6</v>
      </c>
    </row>
    <row r="19" spans="1:5" ht="15">
      <c r="A19" s="50" t="s">
        <v>93</v>
      </c>
      <c r="B19" s="16" t="s">
        <v>112</v>
      </c>
      <c r="C19" s="1">
        <v>5</v>
      </c>
      <c r="D19" s="1">
        <v>50</v>
      </c>
      <c r="E19" s="41">
        <f t="shared" si="0"/>
        <v>250</v>
      </c>
    </row>
    <row r="20" spans="1:5" ht="15">
      <c r="A20" s="50" t="s">
        <v>94</v>
      </c>
      <c r="B20" s="16" t="s">
        <v>112</v>
      </c>
      <c r="C20" s="1">
        <v>15</v>
      </c>
      <c r="D20" s="1">
        <v>15</v>
      </c>
      <c r="E20" s="41">
        <f t="shared" si="0"/>
        <v>225</v>
      </c>
    </row>
    <row r="21" spans="1:5" ht="15">
      <c r="A21" s="50" t="s">
        <v>95</v>
      </c>
      <c r="B21" s="16" t="s">
        <v>112</v>
      </c>
      <c r="C21" s="1">
        <v>18</v>
      </c>
      <c r="D21" s="1">
        <v>8</v>
      </c>
      <c r="E21" s="41">
        <f t="shared" si="0"/>
        <v>144</v>
      </c>
    </row>
    <row r="22" spans="1:5" ht="15">
      <c r="A22" s="50" t="s">
        <v>96</v>
      </c>
      <c r="B22" s="16" t="s">
        <v>112</v>
      </c>
      <c r="C22" s="1">
        <v>2</v>
      </c>
      <c r="D22" s="1">
        <v>4</v>
      </c>
      <c r="E22" s="41">
        <f t="shared" si="0"/>
        <v>8</v>
      </c>
    </row>
    <row r="23" spans="1:5" ht="15">
      <c r="A23" s="50" t="s">
        <v>97</v>
      </c>
      <c r="B23" s="16" t="s">
        <v>112</v>
      </c>
      <c r="C23" s="1">
        <v>320</v>
      </c>
      <c r="D23" s="1">
        <v>1</v>
      </c>
      <c r="E23" s="41">
        <f t="shared" si="0"/>
        <v>320</v>
      </c>
    </row>
    <row r="24" spans="1:5" ht="15">
      <c r="A24" s="84" t="s">
        <v>113</v>
      </c>
      <c r="B24" s="16" t="s">
        <v>112</v>
      </c>
      <c r="C24" s="1">
        <v>13</v>
      </c>
      <c r="D24" s="1">
        <v>39</v>
      </c>
      <c r="E24" s="41">
        <f t="shared" si="0"/>
        <v>507</v>
      </c>
    </row>
    <row r="25" spans="1:5" ht="15">
      <c r="A25" s="70" t="s">
        <v>98</v>
      </c>
      <c r="B25" s="16"/>
      <c r="C25" s="1"/>
      <c r="D25" s="1"/>
      <c r="E25" s="41">
        <f t="shared" si="0"/>
        <v>0</v>
      </c>
    </row>
    <row r="26" spans="1:5" ht="15">
      <c r="A26" s="50" t="s">
        <v>99</v>
      </c>
      <c r="B26" s="16" t="s">
        <v>112</v>
      </c>
      <c r="C26" s="1">
        <v>12</v>
      </c>
      <c r="D26" s="1">
        <v>2</v>
      </c>
      <c r="E26" s="41">
        <f t="shared" si="0"/>
        <v>24</v>
      </c>
    </row>
    <row r="27" spans="1:5" ht="15">
      <c r="A27" s="50" t="s">
        <v>100</v>
      </c>
      <c r="B27" s="16" t="s">
        <v>112</v>
      </c>
      <c r="C27" s="1">
        <v>13</v>
      </c>
      <c r="D27" s="1">
        <v>6</v>
      </c>
      <c r="E27" s="41">
        <f t="shared" si="0"/>
        <v>78</v>
      </c>
    </row>
    <row r="28" spans="1:5" ht="15">
      <c r="A28" s="50" t="s">
        <v>101</v>
      </c>
      <c r="B28" s="16" t="s">
        <v>112</v>
      </c>
      <c r="C28" s="1">
        <v>12</v>
      </c>
      <c r="D28" s="1">
        <v>4</v>
      </c>
      <c r="E28" s="41">
        <f t="shared" si="0"/>
        <v>48</v>
      </c>
    </row>
    <row r="29" spans="1:5" ht="15">
      <c r="A29" s="50" t="s">
        <v>102</v>
      </c>
      <c r="B29" s="16" t="s">
        <v>115</v>
      </c>
      <c r="C29" s="1">
        <v>11</v>
      </c>
      <c r="D29" s="1">
        <v>118</v>
      </c>
      <c r="E29" s="41">
        <f t="shared" si="0"/>
        <v>1298</v>
      </c>
    </row>
    <row r="30" spans="1:5" ht="15">
      <c r="A30" s="50" t="s">
        <v>103</v>
      </c>
      <c r="B30" s="16" t="s">
        <v>115</v>
      </c>
      <c r="C30" s="1">
        <v>8</v>
      </c>
      <c r="D30" s="1">
        <v>145</v>
      </c>
      <c r="E30" s="41">
        <f t="shared" si="0"/>
        <v>1160</v>
      </c>
    </row>
    <row r="31" spans="1:5" ht="15">
      <c r="A31" s="50" t="s">
        <v>104</v>
      </c>
      <c r="B31" s="16" t="s">
        <v>115</v>
      </c>
      <c r="C31" s="1">
        <v>2.25</v>
      </c>
      <c r="D31" s="1">
        <v>100</v>
      </c>
      <c r="E31" s="41">
        <f t="shared" si="0"/>
        <v>225</v>
      </c>
    </row>
    <row r="32" spans="1:5" ht="15">
      <c r="A32" s="50" t="s">
        <v>105</v>
      </c>
      <c r="B32" s="16" t="s">
        <v>115</v>
      </c>
      <c r="C32" s="1">
        <v>1</v>
      </c>
      <c r="D32" s="1">
        <v>50</v>
      </c>
      <c r="E32" s="41">
        <f t="shared" si="0"/>
        <v>50</v>
      </c>
    </row>
    <row r="33" spans="1:5" ht="15">
      <c r="A33" s="50" t="s">
        <v>106</v>
      </c>
      <c r="B33" s="16" t="s">
        <v>115</v>
      </c>
      <c r="C33" s="1">
        <v>0.5</v>
      </c>
      <c r="D33" s="1">
        <v>1000</v>
      </c>
      <c r="E33" s="41">
        <f t="shared" si="0"/>
        <v>500</v>
      </c>
    </row>
    <row r="34" spans="1:5" ht="15">
      <c r="A34" s="50" t="s">
        <v>107</v>
      </c>
      <c r="B34" s="16" t="s">
        <v>115</v>
      </c>
      <c r="C34" s="1">
        <v>0.4</v>
      </c>
      <c r="D34" s="1">
        <v>400</v>
      </c>
      <c r="E34" s="41">
        <f t="shared" si="0"/>
        <v>160</v>
      </c>
    </row>
    <row r="35" spans="1:5" ht="15">
      <c r="A35" s="50" t="s">
        <v>108</v>
      </c>
      <c r="B35" s="16" t="s">
        <v>115</v>
      </c>
      <c r="C35" s="1">
        <v>0.15</v>
      </c>
      <c r="D35" s="1">
        <v>2100</v>
      </c>
      <c r="E35" s="41">
        <f t="shared" si="0"/>
        <v>315</v>
      </c>
    </row>
    <row r="36" spans="1:5" ht="15">
      <c r="A36" s="50" t="s">
        <v>109</v>
      </c>
      <c r="B36" s="16" t="s">
        <v>115</v>
      </c>
      <c r="C36" s="1">
        <v>0.15</v>
      </c>
      <c r="D36" s="1">
        <v>2666</v>
      </c>
      <c r="E36" s="41">
        <f t="shared" si="0"/>
        <v>399.9</v>
      </c>
    </row>
    <row r="37" spans="1:5" ht="15">
      <c r="A37" s="50" t="s">
        <v>110</v>
      </c>
      <c r="B37" s="16" t="s">
        <v>115</v>
      </c>
      <c r="C37" s="1">
        <v>0.5</v>
      </c>
      <c r="D37" s="1">
        <v>6000</v>
      </c>
      <c r="E37" s="41">
        <f t="shared" si="0"/>
        <v>3000</v>
      </c>
    </row>
    <row r="38" spans="1:8" ht="15.75" thickBot="1">
      <c r="A38" s="20" t="s">
        <v>111</v>
      </c>
      <c r="B38" s="16" t="s">
        <v>115</v>
      </c>
      <c r="C38" s="41">
        <v>1</v>
      </c>
      <c r="D38" s="41">
        <v>60</v>
      </c>
      <c r="E38" s="41">
        <f>D38*C38</f>
        <v>60</v>
      </c>
      <c r="H38">
        <f>E39/3000</f>
        <v>9.916833333333333</v>
      </c>
    </row>
    <row r="39" spans="1:5" ht="15.75" thickBot="1">
      <c r="A39" s="45" t="s">
        <v>33</v>
      </c>
      <c r="B39" s="40"/>
      <c r="C39" s="40"/>
      <c r="D39" s="40"/>
      <c r="E39" s="38">
        <f>SUM(SUM(E8:E38))</f>
        <v>29750.5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2012-03-26T18:37:33Z</dcterms:modified>
  <cp:category/>
  <cp:version/>
  <cp:contentType/>
  <cp:contentStatus/>
</cp:coreProperties>
</file>