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6255" windowHeight="9345" tabRatio="687" firstSheet="2" activeTab="3"/>
  </bookViews>
  <sheets>
    <sheet name="Pr91-2007 (2)" sheetId="1" r:id="rId1"/>
    <sheet name="Pr2007" sheetId="2" r:id="rId2"/>
    <sheet name="Grf" sheetId="3" r:id="rId3"/>
    <sheet name="Pr Grf" sheetId="4" r:id="rId4"/>
    <sheet name="Grf92-2007" sheetId="5" r:id="rId5"/>
    <sheet name="Govern" sheetId="6" r:id="rId6"/>
    <sheet name="Pr Spp" sheetId="7" r:id="rId7"/>
    <sheet name="Pr Class" sheetId="8" r:id="rId8"/>
    <sheet name="Pr val" sheetId="9" r:id="rId9"/>
    <sheet name="Sites" sheetId="10" r:id="rId10"/>
  </sheets>
  <externalReferences>
    <externalReference r:id="rId13"/>
  </externalReferences>
  <definedNames>
    <definedName name="_xlnm.Print_Area" localSheetId="5">'Govern'!$A$1:$W$40</definedName>
    <definedName name="_xlnm.Print_Area" localSheetId="2">'Grf'!$A$1:$M$41</definedName>
    <definedName name="_xlnm.Print_Area" localSheetId="7">'Pr Class'!$A$1:$E$57</definedName>
    <definedName name="_xlnm.Print_Area" localSheetId="3">'Pr Grf'!$A$1:$E$33</definedName>
    <definedName name="_xlnm.Print_Area" localSheetId="6">'Pr Spp'!$A$1:$Q$57</definedName>
    <definedName name="_xlnm.Print_Area" localSheetId="8">'Pr val'!$A$1:$F$58</definedName>
    <definedName name="_xlnm.Print_Area" localSheetId="1">'Pr2007'!$A$1:$D$31</definedName>
    <definedName name="_xlnm.Print_Area" localSheetId="0">'Pr91-2007 (2)'!$A$1:$Q$29</definedName>
    <definedName name="_xlnm.Print_Area" localSheetId="9">'Sites'!$A$1:$H$35</definedName>
  </definedNames>
  <calcPr fullCalcOnLoad="1"/>
</workbook>
</file>

<file path=xl/sharedStrings.xml><?xml version="1.0" encoding="utf-8"?>
<sst xmlns="http://schemas.openxmlformats.org/spreadsheetml/2006/main" count="1459" uniqueCount="183">
  <si>
    <t>ARAB REPUBLIC OF EGYPT</t>
  </si>
  <si>
    <t>GENERAL AUTHORITY FOR</t>
  </si>
  <si>
    <t>FISH RESOURCES DEVELOPMENT</t>
  </si>
  <si>
    <t>Red</t>
  </si>
  <si>
    <t>Manzala</t>
  </si>
  <si>
    <t>Brulous</t>
  </si>
  <si>
    <t>Northern lakes</t>
  </si>
  <si>
    <t>Port Foad</t>
  </si>
  <si>
    <t>Naser</t>
  </si>
  <si>
    <t>Coastal Depressions</t>
  </si>
  <si>
    <t>Inland lakes</t>
  </si>
  <si>
    <t>Prod.</t>
  </si>
  <si>
    <t>Red sea</t>
  </si>
  <si>
    <t>Rice fields</t>
  </si>
  <si>
    <t>Total</t>
  </si>
  <si>
    <t>%</t>
  </si>
  <si>
    <t xml:space="preserve"> </t>
  </si>
  <si>
    <t>Year</t>
  </si>
  <si>
    <t>Species</t>
  </si>
  <si>
    <t>Sources</t>
  </si>
  <si>
    <t>Nile Perch</t>
  </si>
  <si>
    <t>Rayan</t>
  </si>
  <si>
    <t>P.Foad</t>
  </si>
  <si>
    <t>Nile</t>
  </si>
  <si>
    <t>Aquaculture</t>
  </si>
  <si>
    <t>Total production</t>
  </si>
  <si>
    <t>Price average</t>
  </si>
  <si>
    <t>Governmental</t>
  </si>
  <si>
    <t>Others</t>
  </si>
  <si>
    <t>Damietta</t>
  </si>
  <si>
    <t>Dakhlia</t>
  </si>
  <si>
    <t>Gharbia</t>
  </si>
  <si>
    <t>Matrouh</t>
  </si>
  <si>
    <t>Alexandria</t>
  </si>
  <si>
    <t>Behira</t>
  </si>
  <si>
    <t>Port Said</t>
  </si>
  <si>
    <t>Ismailia</t>
  </si>
  <si>
    <t>North of Sinai</t>
  </si>
  <si>
    <t>Suez</t>
  </si>
  <si>
    <t>South of Sinai</t>
  </si>
  <si>
    <t>Kafr El-Sheikh</t>
  </si>
  <si>
    <t>Menofia</t>
  </si>
  <si>
    <t>Fayum</t>
  </si>
  <si>
    <t>Menia</t>
  </si>
  <si>
    <t>Asuit</t>
  </si>
  <si>
    <t>Aswan</t>
  </si>
  <si>
    <t>Sohag</t>
  </si>
  <si>
    <t>Govern.</t>
  </si>
  <si>
    <t>Priv.</t>
  </si>
  <si>
    <t>Cages</t>
  </si>
  <si>
    <t>Cairo &amp; Giza</t>
  </si>
  <si>
    <t xml:space="preserve">             Governorate</t>
  </si>
  <si>
    <t>Valley</t>
  </si>
  <si>
    <t>of Delta</t>
  </si>
  <si>
    <t>Middle</t>
  </si>
  <si>
    <t>Fish production from different resources</t>
  </si>
  <si>
    <t>Resource</t>
  </si>
  <si>
    <t>Bitter &amp; Temsah</t>
  </si>
  <si>
    <t>Marine fisheries</t>
  </si>
  <si>
    <t>Bitter</t>
  </si>
  <si>
    <t>Western</t>
  </si>
  <si>
    <t>Resources</t>
  </si>
  <si>
    <t>Natural resources</t>
  </si>
  <si>
    <t>Sharkia</t>
  </si>
  <si>
    <t xml:space="preserve">Private </t>
  </si>
  <si>
    <t>Rice</t>
  </si>
  <si>
    <t>Barbel</t>
  </si>
  <si>
    <t>Qena</t>
  </si>
  <si>
    <t>Meagre</t>
  </si>
  <si>
    <t>in</t>
  </si>
  <si>
    <t>Red Sea</t>
  </si>
  <si>
    <t>Alex.</t>
  </si>
  <si>
    <t>GAFRD site</t>
  </si>
  <si>
    <t>Coastal lagoons</t>
  </si>
  <si>
    <t>Bardaweel</t>
  </si>
  <si>
    <t>Fish production of Egypt</t>
  </si>
  <si>
    <t>GAFRD Site offices</t>
  </si>
  <si>
    <t>in tons</t>
  </si>
  <si>
    <t>in thousand LE.</t>
  </si>
  <si>
    <t>Catches</t>
  </si>
  <si>
    <t>LE./KGS</t>
  </si>
  <si>
    <t>in ton</t>
  </si>
  <si>
    <t>Production in tons</t>
  </si>
  <si>
    <t>Total in tons</t>
  </si>
  <si>
    <t>-</t>
  </si>
  <si>
    <t>Grand Total</t>
  </si>
  <si>
    <t>Bogue</t>
  </si>
  <si>
    <t>white seabream</t>
  </si>
  <si>
    <t>Shells nei, marine</t>
  </si>
  <si>
    <t>Sigans</t>
  </si>
  <si>
    <t>Sole, common</t>
  </si>
  <si>
    <t>Gilthead seabream</t>
  </si>
  <si>
    <t>Sphyraena spp</t>
  </si>
  <si>
    <t>Grey gurnard</t>
  </si>
  <si>
    <t>European seabass</t>
  </si>
  <si>
    <t>Spotted seabass</t>
  </si>
  <si>
    <t>Groupers nei</t>
  </si>
  <si>
    <t>Red porgy</t>
  </si>
  <si>
    <t>Largehead hairtail</t>
  </si>
  <si>
    <t>False scad</t>
  </si>
  <si>
    <t>kawakawa</t>
  </si>
  <si>
    <t>Mullets nei</t>
  </si>
  <si>
    <t>Bluefish</t>
  </si>
  <si>
    <t>Sardinellas nei</t>
  </si>
  <si>
    <t>Crabes</t>
  </si>
  <si>
    <t>Sharks, rays, skates, etc</t>
  </si>
  <si>
    <t>Snapper nei</t>
  </si>
  <si>
    <t>Threadfin breams</t>
  </si>
  <si>
    <t>Red mullet</t>
  </si>
  <si>
    <t>Brushtooth lizasrdfish</t>
  </si>
  <si>
    <t>Cuttlefish, common</t>
  </si>
  <si>
    <t>Tylosurus spp</t>
  </si>
  <si>
    <t>Emperors(=Scavengers)</t>
  </si>
  <si>
    <t>Narrow - barred spanish mackerel</t>
  </si>
  <si>
    <t>Indian mackerel</t>
  </si>
  <si>
    <t>Chub mackerel</t>
  </si>
  <si>
    <t>Crabes nei, marine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</si>
  <si>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</si>
  <si>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</si>
  <si>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</si>
  <si>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</si>
  <si>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</si>
  <si>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</si>
  <si>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Saddled seabream</t>
  </si>
  <si>
    <t>Nile carp</t>
  </si>
  <si>
    <t>Catfishes,upsidedown</t>
  </si>
  <si>
    <t>Silverside(=Sand smelts)</t>
  </si>
  <si>
    <t>Common carp</t>
  </si>
  <si>
    <t>Sea cucumbers nei</t>
  </si>
  <si>
    <t>Qaliubia</t>
  </si>
  <si>
    <t>Eastern</t>
  </si>
  <si>
    <t>Beni Suief</t>
  </si>
  <si>
    <t>Total estimated Value</t>
  </si>
  <si>
    <t>Capture fisheries</t>
  </si>
  <si>
    <t>Fish farming</t>
  </si>
  <si>
    <t>Change in fish production during</t>
  </si>
  <si>
    <t>River weed ctrl</t>
  </si>
  <si>
    <t>Grass Carp production counted for River &amp; canals catch</t>
  </si>
  <si>
    <t>Contribution of GAFRD sites in fish production</t>
  </si>
  <si>
    <t>Central Administration of Damietta</t>
  </si>
  <si>
    <t>Central Administration of Western area</t>
  </si>
  <si>
    <t>Central Administration of Middle of Delta</t>
  </si>
  <si>
    <t>Central Administration of Port Said</t>
  </si>
  <si>
    <t>Central Administration of Suez</t>
  </si>
  <si>
    <t>Central Administration of Wadi El-Neel</t>
  </si>
  <si>
    <t>Central Administration of Aswan</t>
  </si>
  <si>
    <t>Toshka</t>
  </si>
  <si>
    <t>Intensive culture</t>
  </si>
  <si>
    <t>New Valley</t>
  </si>
  <si>
    <t>Intensive</t>
  </si>
  <si>
    <t>Med. sea</t>
  </si>
  <si>
    <t>Edko</t>
  </si>
  <si>
    <t>Maryout</t>
  </si>
  <si>
    <t>Qarun</t>
  </si>
  <si>
    <t>Nile River</t>
  </si>
  <si>
    <t>Aquacultur</t>
  </si>
  <si>
    <t>Med. Sea</t>
  </si>
  <si>
    <t>River Nile</t>
  </si>
  <si>
    <t>Med.</t>
  </si>
  <si>
    <t>Northern Lakes</t>
  </si>
  <si>
    <t>Coastal Lagoons</t>
  </si>
  <si>
    <t>Inland Lakes</t>
  </si>
  <si>
    <t>Marine Fisheries</t>
  </si>
  <si>
    <t>Silver carp</t>
  </si>
  <si>
    <t>Fish production in different Governorate</t>
  </si>
  <si>
    <t>Catch by species</t>
  </si>
  <si>
    <t>New Vally</t>
  </si>
  <si>
    <t>TOTAL</t>
  </si>
  <si>
    <t>in 2007</t>
  </si>
  <si>
    <t>for year 2007</t>
  </si>
  <si>
    <t>with estimated value in 2007</t>
  </si>
  <si>
    <t>from different sources in 2007</t>
  </si>
  <si>
    <t>Change in fish production  From 1992 : 2007</t>
  </si>
  <si>
    <t>Fish production classified according to Species</t>
  </si>
  <si>
    <t>and their percentage of total production in 2007</t>
  </si>
  <si>
    <t>Fish production classified according the Sources</t>
  </si>
  <si>
    <t>(1993 : 2007)</t>
  </si>
  <si>
    <t>Fish production in percentage</t>
  </si>
  <si>
    <t>from different resources in 2007</t>
  </si>
  <si>
    <r>
      <t>Quantity in thousand tons approximated to the 1</t>
    </r>
    <r>
      <rPr>
        <u val="single"/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decimal number</t>
    </r>
  </si>
  <si>
    <r>
      <t xml:space="preserve">Production </t>
    </r>
    <r>
      <rPr>
        <vertAlign val="superscript"/>
        <sz val="12"/>
        <rFont val="Times New Roman"/>
        <family val="1"/>
      </rPr>
      <t>*</t>
    </r>
  </si>
  <si>
    <t>* in tons</t>
  </si>
  <si>
    <r>
      <t>Quantity in thousand tons approximated to the 1</t>
    </r>
    <r>
      <rPr>
        <u val="single"/>
        <vertAlign val="superscript"/>
        <sz val="12"/>
        <color indexed="30"/>
        <rFont val="Arial"/>
        <family val="2"/>
      </rPr>
      <t>st</t>
    </r>
    <r>
      <rPr>
        <sz val="12"/>
        <color indexed="30"/>
        <rFont val="Arial"/>
        <family val="2"/>
      </rPr>
      <t xml:space="preserve"> decimal number</t>
    </r>
  </si>
</sst>
</file>

<file path=xl/styles.xml><?xml version="1.0" encoding="utf-8"?>
<styleSheet xmlns="http://schemas.openxmlformats.org/spreadsheetml/2006/main">
  <numFmts count="3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"/>
    <numFmt numFmtId="187" formatCode="0.000%"/>
  </numFmts>
  <fonts count="99">
    <font>
      <sz val="10"/>
      <name val="Arial"/>
      <family val="0"/>
    </font>
    <font>
      <sz val="12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12"/>
      <name val="Times New Roman"/>
      <family val="1"/>
    </font>
    <font>
      <sz val="18"/>
      <name val="Times New Roman"/>
      <family val="1"/>
    </font>
    <font>
      <sz val="14"/>
      <color indexed="39"/>
      <name val="Times New Roman"/>
      <family val="1"/>
    </font>
    <font>
      <sz val="24"/>
      <name val="Arial"/>
      <family val="2"/>
    </font>
    <font>
      <u val="single"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9"/>
      <name val="Arial"/>
      <family val="2"/>
    </font>
    <font>
      <sz val="12"/>
      <color indexed="48"/>
      <name val="Times New Roman"/>
      <family val="1"/>
    </font>
    <font>
      <sz val="12"/>
      <color indexed="12"/>
      <name val="Arial"/>
      <family val="2"/>
    </font>
    <font>
      <sz val="12"/>
      <color indexed="30"/>
      <name val="Arial"/>
      <family val="2"/>
    </font>
    <font>
      <u val="single"/>
      <vertAlign val="superscript"/>
      <sz val="12"/>
      <color indexed="30"/>
      <name val="Arial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22.5"/>
      <color indexed="8"/>
      <name val="Arial"/>
      <family val="0"/>
    </font>
    <font>
      <sz val="21.25"/>
      <color indexed="8"/>
      <name val="Arial"/>
      <family val="0"/>
    </font>
    <font>
      <sz val="14.5"/>
      <color indexed="8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4"/>
      <color indexed="30"/>
      <name val="Times New Roman"/>
      <family val="1"/>
    </font>
    <font>
      <sz val="16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4"/>
      <color indexed="30"/>
      <name val="Arial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6"/>
      <color indexed="30"/>
      <name val="Arial"/>
      <family val="2"/>
    </font>
    <font>
      <b/>
      <sz val="12"/>
      <color indexed="30"/>
      <name val="Arial"/>
      <family val="2"/>
    </font>
    <font>
      <sz val="18"/>
      <color indexed="30"/>
      <name val="Times New Roman"/>
      <family val="1"/>
    </font>
    <font>
      <b/>
      <sz val="18"/>
      <color indexed="30"/>
      <name val="Times New Roman"/>
      <family val="1"/>
    </font>
    <font>
      <sz val="22"/>
      <color indexed="60"/>
      <name val="Times New Roman"/>
      <family val="0"/>
    </font>
    <font>
      <sz val="22"/>
      <color indexed="48"/>
      <name val="Times New Roman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"/>
      <family val="2"/>
    </font>
    <font>
      <sz val="16"/>
      <color rgb="FF0070C0"/>
      <name val="Times New Roman"/>
      <family val="1"/>
    </font>
    <font>
      <sz val="11"/>
      <color rgb="FF0070C0"/>
      <name val="Times New Roman"/>
      <family val="1"/>
    </font>
    <font>
      <sz val="14"/>
      <color rgb="FF0070C0"/>
      <name val="Arial"/>
      <family val="2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sz val="16"/>
      <color rgb="FF0070C0"/>
      <name val="Arial"/>
      <family val="2"/>
    </font>
    <font>
      <b/>
      <sz val="12"/>
      <color rgb="FF0070C0"/>
      <name val="Arial"/>
      <family val="2"/>
    </font>
    <font>
      <sz val="18"/>
      <color rgb="FF0070C0"/>
      <name val="Times New Roman"/>
      <family val="1"/>
    </font>
    <font>
      <b/>
      <sz val="1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</border>
    <border>
      <left style="double">
        <color indexed="30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 style="double">
        <color indexed="30"/>
      </right>
      <top>
        <color indexed="63"/>
      </top>
      <bottom style="double">
        <color indexed="30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0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>
        <color indexed="63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rgb="FF0070C0"/>
      </left>
      <right style="double">
        <color rgb="FF0070C0"/>
      </right>
      <top>
        <color indexed="63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>
        <color indexed="63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 style="thin"/>
      <top style="double">
        <color rgb="FF0070C0"/>
      </top>
      <bottom style="double">
        <color rgb="FF0070C0"/>
      </bottom>
    </border>
    <border>
      <left style="thin"/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 style="thin"/>
      <top style="thin">
        <color rgb="FF0070C0"/>
      </top>
      <bottom style="double">
        <color rgb="FF0070C0"/>
      </bottom>
    </border>
    <border>
      <left style="thin"/>
      <right style="thin"/>
      <top style="thin">
        <color rgb="FF0070C0"/>
      </top>
      <bottom style="double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 style="thin">
        <color rgb="FF0070C0"/>
      </right>
      <top style="double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double">
        <color rgb="FF0070C0"/>
      </bottom>
    </border>
    <border>
      <left style="thin"/>
      <right>
        <color indexed="63"/>
      </right>
      <top style="thin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 style="double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>
        <color indexed="63"/>
      </bottom>
    </border>
    <border>
      <left style="double">
        <color rgb="FF0070C0"/>
      </left>
      <right style="double">
        <color rgb="FF0070C0"/>
      </right>
      <top>
        <color indexed="63"/>
      </top>
      <bottom>
        <color indexed="63"/>
      </bottom>
    </border>
    <border>
      <left style="double">
        <color rgb="FF0070C0"/>
      </left>
      <right style="double">
        <color rgb="FF0070C0"/>
      </right>
      <top>
        <color indexed="63"/>
      </top>
      <bottom style="double">
        <color rgb="FF0070C0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0070C0"/>
      </left>
      <right style="thin"/>
      <top style="double">
        <color rgb="FF0070C0"/>
      </top>
      <bottom style="double">
        <color rgb="FF0070C0"/>
      </bottom>
    </border>
    <border>
      <left style="thin"/>
      <right style="thin"/>
      <top style="double">
        <color rgb="FF0070C0"/>
      </top>
      <bottom style="double">
        <color rgb="FF0070C0"/>
      </bottom>
    </border>
    <border>
      <left style="thin"/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double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double">
        <color rgb="FF0070C0"/>
      </top>
      <bottom>
        <color indexed="63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>
        <color indexed="63"/>
      </bottom>
    </border>
    <border>
      <left>
        <color indexed="63"/>
      </left>
      <right style="thin"/>
      <top style="double">
        <color rgb="FF0070C0"/>
      </top>
      <bottom style="thin">
        <color rgb="FF0070C0"/>
      </bottom>
    </border>
    <border>
      <left style="thin"/>
      <right style="thin"/>
      <top style="double">
        <color rgb="FF0070C0"/>
      </top>
      <bottom style="thin">
        <color rgb="FF0070C0"/>
      </bottom>
    </border>
    <border>
      <left style="thin"/>
      <right>
        <color indexed="63"/>
      </right>
      <top style="double">
        <color rgb="FF0070C0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" fontId="12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" fontId="1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1" fontId="80" fillId="0" borderId="0" xfId="0" applyNumberFormat="1" applyFont="1" applyAlignment="1" applyProtection="1">
      <alignment/>
      <protection/>
    </xf>
    <xf numFmtId="2" fontId="80" fillId="0" borderId="0" xfId="0" applyNumberFormat="1" applyFont="1" applyAlignment="1" applyProtection="1">
      <alignment/>
      <protection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2" fontId="82" fillId="0" borderId="0" xfId="0" applyNumberFormat="1" applyFont="1" applyAlignment="1">
      <alignment/>
    </xf>
    <xf numFmtId="1" fontId="82" fillId="0" borderId="0" xfId="0" applyNumberFormat="1" applyFont="1" applyAlignment="1" applyProtection="1">
      <alignment/>
      <protection/>
    </xf>
    <xf numFmtId="1" fontId="84" fillId="0" borderId="0" xfId="0" applyNumberFormat="1" applyFont="1" applyFill="1" applyBorder="1" applyAlignment="1">
      <alignment horizontal="right" vertical="center" readingOrder="2"/>
    </xf>
    <xf numFmtId="0" fontId="13" fillId="0" borderId="0" xfId="0" applyFont="1" applyAlignment="1">
      <alignment/>
    </xf>
    <xf numFmtId="1" fontId="9" fillId="0" borderId="14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right" vertical="center"/>
    </xf>
    <xf numFmtId="178" fontId="1" fillId="0" borderId="23" xfId="0" applyNumberFormat="1" applyFont="1" applyBorder="1" applyAlignment="1">
      <alignment vertical="center"/>
    </xf>
    <xf numFmtId="178" fontId="9" fillId="0" borderId="15" xfId="0" applyNumberFormat="1" applyFont="1" applyFill="1" applyBorder="1" applyAlignment="1">
      <alignment horizontal="right" vertical="center"/>
    </xf>
    <xf numFmtId="2" fontId="9" fillId="0" borderId="15" xfId="0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28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10" fontId="7" fillId="0" borderId="28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1" fontId="9" fillId="0" borderId="34" xfId="0" applyNumberFormat="1" applyFont="1" applyBorder="1" applyAlignment="1">
      <alignment horizontal="right" vertical="center"/>
    </xf>
    <xf numFmtId="1" fontId="9" fillId="0" borderId="35" xfId="0" applyNumberFormat="1" applyFont="1" applyBorder="1" applyAlignment="1">
      <alignment horizontal="right"/>
    </xf>
    <xf numFmtId="1" fontId="9" fillId="0" borderId="34" xfId="0" applyNumberFormat="1" applyFont="1" applyBorder="1" applyAlignment="1">
      <alignment horizontal="right"/>
    </xf>
    <xf numFmtId="1" fontId="9" fillId="0" borderId="36" xfId="0" applyNumberFormat="1" applyFont="1" applyBorder="1" applyAlignment="1">
      <alignment horizontal="right" vertical="center"/>
    </xf>
    <xf numFmtId="1" fontId="9" fillId="0" borderId="37" xfId="0" applyNumberFormat="1" applyFont="1" applyBorder="1" applyAlignment="1">
      <alignment horizontal="right"/>
    </xf>
    <xf numFmtId="0" fontId="1" fillId="0" borderId="38" xfId="0" applyFont="1" applyBorder="1" applyAlignment="1">
      <alignment/>
    </xf>
    <xf numFmtId="0" fontId="9" fillId="0" borderId="39" xfId="57" applyFont="1" applyBorder="1" applyAlignment="1" applyProtection="1">
      <alignment horizontal="left" vertical="center" wrapText="1"/>
      <protection locked="0"/>
    </xf>
    <xf numFmtId="1" fontId="9" fillId="0" borderId="40" xfId="0" applyNumberFormat="1" applyFont="1" applyBorder="1" applyAlignment="1">
      <alignment horizontal="right" vertical="center"/>
    </xf>
    <xf numFmtId="1" fontId="9" fillId="0" borderId="40" xfId="0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right" vertical="center"/>
    </xf>
    <xf numFmtId="1" fontId="9" fillId="0" borderId="39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9" fillId="0" borderId="39" xfId="58" applyFont="1" applyBorder="1" applyAlignment="1" applyProtection="1">
      <alignment horizontal="left" vertical="center" wrapText="1"/>
      <protection locked="0"/>
    </xf>
    <xf numFmtId="0" fontId="9" fillId="0" borderId="39" xfId="58" applyFont="1" applyBorder="1" applyAlignment="1" applyProtection="1">
      <alignment vertical="center"/>
      <protection locked="0"/>
    </xf>
    <xf numFmtId="1" fontId="9" fillId="0" borderId="42" xfId="0" applyNumberFormat="1" applyFont="1" applyBorder="1" applyAlignment="1">
      <alignment horizontal="right" vertical="center"/>
    </xf>
    <xf numFmtId="1" fontId="9" fillId="0" borderId="43" xfId="0" applyNumberFormat="1" applyFont="1" applyBorder="1" applyAlignment="1">
      <alignment horizontal="right"/>
    </xf>
    <xf numFmtId="1" fontId="9" fillId="0" borderId="44" xfId="0" applyNumberFormat="1" applyFont="1" applyBorder="1" applyAlignment="1">
      <alignment horizontal="right"/>
    </xf>
    <xf numFmtId="1" fontId="9" fillId="0" borderId="45" xfId="0" applyNumberFormat="1" applyFont="1" applyBorder="1" applyAlignment="1">
      <alignment horizontal="right" vertical="center"/>
    </xf>
    <xf numFmtId="1" fontId="9" fillId="0" borderId="46" xfId="0" applyNumberFormat="1" applyFont="1" applyBorder="1" applyAlignment="1">
      <alignment horizontal="right" vertical="center"/>
    </xf>
    <xf numFmtId="1" fontId="9" fillId="0" borderId="28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47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1" fontId="87" fillId="0" borderId="39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8" fillId="0" borderId="39" xfId="0" applyFont="1" applyFill="1" applyBorder="1" applyAlignment="1">
      <alignment vertical="center"/>
    </xf>
    <xf numFmtId="0" fontId="87" fillId="0" borderId="0" xfId="0" applyFont="1" applyFill="1" applyAlignment="1">
      <alignment horizontal="left" vertical="center"/>
    </xf>
    <xf numFmtId="0" fontId="87" fillId="0" borderId="0" xfId="0" applyFont="1" applyFill="1" applyAlignment="1">
      <alignment vertical="center"/>
    </xf>
    <xf numFmtId="0" fontId="89" fillId="0" borderId="0" xfId="0" applyFont="1" applyFill="1" applyAlignment="1">
      <alignment/>
    </xf>
    <xf numFmtId="0" fontId="87" fillId="0" borderId="27" xfId="0" applyFont="1" applyFill="1" applyBorder="1" applyAlignment="1">
      <alignment horizontal="right" vertical="center"/>
    </xf>
    <xf numFmtId="0" fontId="87" fillId="0" borderId="48" xfId="0" applyFont="1" applyFill="1" applyBorder="1" applyAlignment="1">
      <alignment horizontal="left" vertical="center" wrapText="1"/>
    </xf>
    <xf numFmtId="0" fontId="89" fillId="0" borderId="0" xfId="0" applyFont="1" applyFill="1" applyAlignment="1">
      <alignment/>
    </xf>
    <xf numFmtId="0" fontId="87" fillId="0" borderId="39" xfId="0" applyFont="1" applyFill="1" applyBorder="1" applyAlignment="1">
      <alignment vertical="center"/>
    </xf>
    <xf numFmtId="0" fontId="87" fillId="0" borderId="0" xfId="0" applyFont="1" applyFill="1" applyAlignment="1">
      <alignment/>
    </xf>
    <xf numFmtId="1" fontId="85" fillId="0" borderId="0" xfId="0" applyNumberFormat="1" applyFont="1" applyFill="1" applyAlignment="1">
      <alignment/>
    </xf>
    <xf numFmtId="1" fontId="86" fillId="0" borderId="0" xfId="0" applyNumberFormat="1" applyFont="1" applyFill="1" applyAlignment="1">
      <alignment/>
    </xf>
    <xf numFmtId="0" fontId="87" fillId="0" borderId="27" xfId="0" applyFont="1" applyFill="1" applyBorder="1" applyAlignment="1">
      <alignment horizontal="center" vertical="center"/>
    </xf>
    <xf numFmtId="0" fontId="88" fillId="0" borderId="48" xfId="0" applyFont="1" applyFill="1" applyBorder="1" applyAlignment="1">
      <alignment horizontal="right" vertical="center"/>
    </xf>
    <xf numFmtId="0" fontId="87" fillId="0" borderId="39" xfId="57" applyFont="1" applyFill="1" applyBorder="1" applyAlignment="1" applyProtection="1">
      <alignment horizontal="left" vertical="center" wrapText="1"/>
      <protection locked="0"/>
    </xf>
    <xf numFmtId="0" fontId="87" fillId="0" borderId="39" xfId="0" applyFont="1" applyFill="1" applyBorder="1" applyAlignment="1">
      <alignment horizontal="left" vertical="center" wrapText="1"/>
    </xf>
    <xf numFmtId="0" fontId="87" fillId="0" borderId="39" xfId="58" applyFont="1" applyFill="1" applyBorder="1" applyAlignment="1" applyProtection="1">
      <alignment vertical="center"/>
      <protection locked="0"/>
    </xf>
    <xf numFmtId="0" fontId="87" fillId="0" borderId="39" xfId="58" applyFont="1" applyFill="1" applyBorder="1" applyAlignment="1" applyProtection="1">
      <alignment horizontal="left" vertical="center" wrapText="1"/>
      <protection locked="0"/>
    </xf>
    <xf numFmtId="0" fontId="87" fillId="0" borderId="45" xfId="57" applyFont="1" applyFill="1" applyBorder="1" applyAlignment="1" applyProtection="1">
      <alignment horizontal="left" vertical="center" wrapText="1"/>
      <protection locked="0"/>
    </xf>
    <xf numFmtId="1" fontId="90" fillId="0" borderId="0" xfId="0" applyNumberFormat="1" applyFont="1" applyFill="1" applyAlignment="1">
      <alignment/>
    </xf>
    <xf numFmtId="0" fontId="87" fillId="0" borderId="49" xfId="0" applyFont="1" applyFill="1" applyBorder="1" applyAlignment="1">
      <alignment vertical="center"/>
    </xf>
    <xf numFmtId="0" fontId="87" fillId="0" borderId="50" xfId="0" applyFont="1" applyFill="1" applyBorder="1" applyAlignment="1">
      <alignment vertical="center"/>
    </xf>
    <xf numFmtId="0" fontId="87" fillId="0" borderId="51" xfId="0" applyFont="1" applyFill="1" applyBorder="1" applyAlignment="1">
      <alignment vertical="center"/>
    </xf>
    <xf numFmtId="2" fontId="86" fillId="0" borderId="0" xfId="0" applyNumberFormat="1" applyFont="1" applyFill="1" applyAlignment="1">
      <alignment vertical="center"/>
    </xf>
    <xf numFmtId="0" fontId="85" fillId="0" borderId="0" xfId="0" applyFont="1" applyFill="1" applyAlignment="1">
      <alignment horizontal="right" vertical="center"/>
    </xf>
    <xf numFmtId="0" fontId="91" fillId="0" borderId="27" xfId="0" applyFont="1" applyFill="1" applyBorder="1" applyAlignment="1">
      <alignment horizontal="center" vertical="center"/>
    </xf>
    <xf numFmtId="2" fontId="87" fillId="0" borderId="27" xfId="0" applyNumberFormat="1" applyFont="1" applyFill="1" applyBorder="1" applyAlignment="1">
      <alignment horizontal="center" vertical="center"/>
    </xf>
    <xf numFmtId="0" fontId="87" fillId="0" borderId="30" xfId="0" applyFont="1" applyFill="1" applyBorder="1" applyAlignment="1">
      <alignment vertical="center"/>
    </xf>
    <xf numFmtId="0" fontId="87" fillId="0" borderId="29" xfId="0" applyFont="1" applyFill="1" applyBorder="1" applyAlignment="1">
      <alignment horizontal="center" vertical="center"/>
    </xf>
    <xf numFmtId="2" fontId="87" fillId="0" borderId="29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vertical="center"/>
    </xf>
    <xf numFmtId="2" fontId="88" fillId="0" borderId="48" xfId="0" applyNumberFormat="1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9" fillId="0" borderId="0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8" fillId="0" borderId="39" xfId="0" applyFont="1" applyFill="1" applyBorder="1" applyAlignment="1">
      <alignment horizontal="right" vertical="center"/>
    </xf>
    <xf numFmtId="0" fontId="89" fillId="0" borderId="0" xfId="57" applyFont="1" applyFill="1" applyBorder="1" applyAlignment="1" applyProtection="1">
      <alignment horizontal="left" vertical="center" wrapText="1"/>
      <protection locked="0"/>
    </xf>
    <xf numFmtId="1" fontId="88" fillId="0" borderId="39" xfId="0" applyNumberFormat="1" applyFont="1" applyFill="1" applyBorder="1" applyAlignment="1">
      <alignment vertical="center"/>
    </xf>
    <xf numFmtId="1" fontId="88" fillId="0" borderId="39" xfId="0" applyNumberFormat="1" applyFont="1" applyFill="1" applyBorder="1" applyAlignment="1">
      <alignment horizontal="right" vertical="center"/>
    </xf>
    <xf numFmtId="2" fontId="88" fillId="0" borderId="39" xfId="0" applyNumberFormat="1" applyFont="1" applyFill="1" applyBorder="1" applyAlignment="1">
      <alignment horizontal="center" vertical="center"/>
    </xf>
    <xf numFmtId="0" fontId="89" fillId="0" borderId="0" xfId="58" applyFont="1" applyFill="1" applyBorder="1" applyAlignment="1" applyProtection="1">
      <alignment vertical="center"/>
      <protection locked="0"/>
    </xf>
    <xf numFmtId="0" fontId="89" fillId="0" borderId="0" xfId="0" applyFont="1" applyFill="1" applyBorder="1" applyAlignment="1">
      <alignment horizontal="left" vertical="center" wrapText="1"/>
    </xf>
    <xf numFmtId="0" fontId="89" fillId="0" borderId="0" xfId="58" applyFont="1" applyFill="1" applyBorder="1" applyAlignment="1" applyProtection="1">
      <alignment horizontal="left" vertical="center" wrapText="1"/>
      <protection locked="0"/>
    </xf>
    <xf numFmtId="0" fontId="89" fillId="0" borderId="0" xfId="58" applyFont="1" applyFill="1" applyBorder="1" applyAlignment="1" applyProtection="1">
      <alignment vertical="center" wrapText="1"/>
      <protection locked="0"/>
    </xf>
    <xf numFmtId="0" fontId="89" fillId="0" borderId="0" xfId="0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horizontal="right" vertical="center"/>
    </xf>
    <xf numFmtId="0" fontId="85" fillId="0" borderId="38" xfId="0" applyFont="1" applyFill="1" applyBorder="1" applyAlignment="1">
      <alignment vertical="center"/>
    </xf>
    <xf numFmtId="1" fontId="88" fillId="0" borderId="45" xfId="0" applyNumberFormat="1" applyFont="1" applyFill="1" applyBorder="1" applyAlignment="1">
      <alignment vertical="center"/>
    </xf>
    <xf numFmtId="1" fontId="88" fillId="0" borderId="45" xfId="0" applyNumberFormat="1" applyFont="1" applyFill="1" applyBorder="1" applyAlignment="1">
      <alignment horizontal="right" vertical="center"/>
    </xf>
    <xf numFmtId="2" fontId="88" fillId="0" borderId="45" xfId="0" applyNumberFormat="1" applyFont="1" applyFill="1" applyBorder="1" applyAlignment="1">
      <alignment horizontal="center" vertical="center"/>
    </xf>
    <xf numFmtId="1" fontId="93" fillId="0" borderId="38" xfId="0" applyNumberFormat="1" applyFont="1" applyFill="1" applyBorder="1" applyAlignment="1">
      <alignment horizontal="right" vertical="center"/>
    </xf>
    <xf numFmtId="0" fontId="88" fillId="0" borderId="28" xfId="0" applyFont="1" applyFill="1" applyBorder="1" applyAlignment="1">
      <alignment horizontal="center" vertical="center"/>
    </xf>
    <xf numFmtId="1" fontId="88" fillId="0" borderId="28" xfId="0" applyNumberFormat="1" applyFont="1" applyFill="1" applyBorder="1" applyAlignment="1">
      <alignment vertical="center"/>
    </xf>
    <xf numFmtId="2" fontId="88" fillId="0" borderId="28" xfId="0" applyNumberFormat="1" applyFont="1" applyFill="1" applyBorder="1" applyAlignment="1">
      <alignment vertical="center"/>
    </xf>
    <xf numFmtId="2" fontId="86" fillId="0" borderId="0" xfId="0" applyNumberFormat="1" applyFont="1" applyFill="1" applyAlignment="1">
      <alignment/>
    </xf>
    <xf numFmtId="0" fontId="85" fillId="0" borderId="0" xfId="0" applyFont="1" applyFill="1" applyAlignment="1">
      <alignment horizontal="right"/>
    </xf>
    <xf numFmtId="1" fontId="93" fillId="0" borderId="0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horizontal="right"/>
    </xf>
    <xf numFmtId="1" fontId="94" fillId="0" borderId="0" xfId="0" applyNumberFormat="1" applyFont="1" applyFill="1" applyBorder="1" applyAlignment="1">
      <alignment horizontal="right" vertical="center"/>
    </xf>
    <xf numFmtId="1" fontId="95" fillId="0" borderId="0" xfId="0" applyNumberFormat="1" applyFont="1" applyFill="1" applyAlignment="1">
      <alignment horizontal="center"/>
    </xf>
    <xf numFmtId="186" fontId="86" fillId="0" borderId="0" xfId="0" applyNumberFormat="1" applyFont="1" applyFill="1" applyAlignment="1">
      <alignment/>
    </xf>
    <xf numFmtId="1" fontId="88" fillId="0" borderId="48" xfId="0" applyNumberFormat="1" applyFont="1" applyFill="1" applyBorder="1" applyAlignment="1">
      <alignment vertical="center"/>
    </xf>
    <xf numFmtId="1" fontId="88" fillId="0" borderId="48" xfId="0" applyNumberFormat="1" applyFont="1" applyFill="1" applyBorder="1" applyAlignment="1">
      <alignment horizontal="right" vertical="center"/>
    </xf>
    <xf numFmtId="0" fontId="88" fillId="0" borderId="39" xfId="0" applyFont="1" applyFill="1" applyBorder="1" applyAlignment="1">
      <alignment horizontal="center" vertical="center"/>
    </xf>
    <xf numFmtId="2" fontId="88" fillId="0" borderId="45" xfId="0" applyNumberFormat="1" applyFont="1" applyFill="1" applyBorder="1" applyAlignment="1">
      <alignment horizontal="right" vertical="center"/>
    </xf>
    <xf numFmtId="0" fontId="89" fillId="0" borderId="0" xfId="0" applyFont="1" applyAlignment="1">
      <alignment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87" fillId="0" borderId="27" xfId="0" applyFont="1" applyBorder="1" applyAlignment="1">
      <alignment horizontal="right" vertical="center"/>
    </xf>
    <xf numFmtId="0" fontId="87" fillId="0" borderId="27" xfId="0" applyFont="1" applyBorder="1" applyAlignment="1">
      <alignment horizontal="center" vertical="center"/>
    </xf>
    <xf numFmtId="0" fontId="87" fillId="0" borderId="30" xfId="0" applyFont="1" applyBorder="1" applyAlignment="1">
      <alignment vertical="center"/>
    </xf>
    <xf numFmtId="0" fontId="87" fillId="0" borderId="29" xfId="0" applyFont="1" applyBorder="1" applyAlignment="1">
      <alignment horizontal="center" vertical="center"/>
    </xf>
    <xf numFmtId="0" fontId="87" fillId="0" borderId="48" xfId="0" applyFont="1" applyBorder="1" applyAlignment="1">
      <alignment horizontal="left" vertical="center" wrapText="1"/>
    </xf>
    <xf numFmtId="1" fontId="87" fillId="0" borderId="48" xfId="0" applyNumberFormat="1" applyFont="1" applyBorder="1" applyAlignment="1">
      <alignment vertical="center"/>
    </xf>
    <xf numFmtId="0" fontId="87" fillId="0" borderId="0" xfId="0" applyFont="1" applyAlignment="1">
      <alignment/>
    </xf>
    <xf numFmtId="0" fontId="89" fillId="0" borderId="0" xfId="0" applyFont="1" applyAlignment="1">
      <alignment/>
    </xf>
    <xf numFmtId="1" fontId="89" fillId="0" borderId="0" xfId="0" applyNumberFormat="1" applyFont="1" applyAlignment="1">
      <alignment/>
    </xf>
    <xf numFmtId="0" fontId="87" fillId="0" borderId="39" xfId="57" applyFont="1" applyBorder="1" applyAlignment="1" applyProtection="1">
      <alignment horizontal="left" vertical="center" wrapText="1"/>
      <protection locked="0"/>
    </xf>
    <xf numFmtId="1" fontId="87" fillId="0" borderId="39" xfId="0" applyNumberFormat="1" applyFont="1" applyBorder="1" applyAlignment="1">
      <alignment vertical="center"/>
    </xf>
    <xf numFmtId="1" fontId="87" fillId="0" borderId="39" xfId="0" applyNumberFormat="1" applyFont="1" applyBorder="1" applyAlignment="1">
      <alignment horizontal="right" vertical="center"/>
    </xf>
    <xf numFmtId="0" fontId="87" fillId="0" borderId="39" xfId="0" applyFont="1" applyBorder="1" applyAlignment="1">
      <alignment horizontal="left" vertical="center" wrapText="1"/>
    </xf>
    <xf numFmtId="0" fontId="87" fillId="0" borderId="39" xfId="0" applyFont="1" applyBorder="1" applyAlignment="1">
      <alignment vertical="center"/>
    </xf>
    <xf numFmtId="0" fontId="89" fillId="0" borderId="0" xfId="0" applyFont="1" applyAlignment="1">
      <alignment horizontal="right"/>
    </xf>
    <xf numFmtId="1" fontId="89" fillId="0" borderId="0" xfId="0" applyNumberFormat="1" applyFont="1" applyAlignment="1">
      <alignment horizontal="right"/>
    </xf>
    <xf numFmtId="0" fontId="87" fillId="0" borderId="39" xfId="58" applyFont="1" applyBorder="1" applyAlignment="1" applyProtection="1">
      <alignment horizontal="left" vertical="center" wrapText="1"/>
      <protection locked="0"/>
    </xf>
    <xf numFmtId="0" fontId="87" fillId="0" borderId="39" xfId="58" applyFont="1" applyBorder="1" applyAlignment="1" applyProtection="1">
      <alignment vertical="center"/>
      <protection locked="0"/>
    </xf>
    <xf numFmtId="1" fontId="87" fillId="0" borderId="39" xfId="0" applyNumberFormat="1" applyFont="1" applyFill="1" applyBorder="1" applyAlignment="1">
      <alignment vertical="center"/>
    </xf>
    <xf numFmtId="1" fontId="89" fillId="0" borderId="0" xfId="0" applyNumberFormat="1" applyFont="1" applyFill="1" applyAlignment="1">
      <alignment/>
    </xf>
    <xf numFmtId="1" fontId="87" fillId="0" borderId="45" xfId="0" applyNumberFormat="1" applyFont="1" applyBorder="1" applyAlignment="1">
      <alignment vertical="center"/>
    </xf>
    <xf numFmtId="1" fontId="87" fillId="0" borderId="28" xfId="0" applyNumberFormat="1" applyFont="1" applyBorder="1" applyAlignment="1">
      <alignment vertical="center"/>
    </xf>
    <xf numFmtId="1" fontId="87" fillId="0" borderId="28" xfId="0" applyNumberFormat="1" applyFont="1" applyBorder="1" applyAlignment="1">
      <alignment horizontal="right" vertical="center"/>
    </xf>
    <xf numFmtId="1" fontId="87" fillId="0" borderId="28" xfId="0" applyNumberFormat="1" applyFont="1" applyBorder="1" applyAlignment="1">
      <alignment horizontal="center" vertical="center"/>
    </xf>
    <xf numFmtId="0" fontId="87" fillId="0" borderId="0" xfId="0" applyFont="1" applyAlignment="1">
      <alignment horizontal="right"/>
    </xf>
    <xf numFmtId="1" fontId="87" fillId="0" borderId="0" xfId="0" applyNumberFormat="1" applyFont="1" applyAlignment="1">
      <alignment/>
    </xf>
    <xf numFmtId="1" fontId="87" fillId="0" borderId="48" xfId="0" applyNumberFormat="1" applyFont="1" applyBorder="1" applyAlignment="1">
      <alignment horizontal="right" vertical="center"/>
    </xf>
    <xf numFmtId="2" fontId="87" fillId="0" borderId="48" xfId="0" applyNumberFormat="1" applyFont="1" applyBorder="1" applyAlignment="1">
      <alignment horizontal="center" vertical="center"/>
    </xf>
    <xf numFmtId="2" fontId="87" fillId="0" borderId="39" xfId="0" applyNumberFormat="1" applyFont="1" applyBorder="1" applyAlignment="1">
      <alignment horizontal="center" vertical="center"/>
    </xf>
    <xf numFmtId="2" fontId="87" fillId="0" borderId="39" xfId="0" applyNumberFormat="1" applyFont="1" applyFill="1" applyBorder="1" applyAlignment="1">
      <alignment horizontal="center" vertical="center"/>
    </xf>
    <xf numFmtId="0" fontId="87" fillId="0" borderId="45" xfId="57" applyFont="1" applyBorder="1" applyAlignment="1" applyProtection="1">
      <alignment horizontal="left" vertical="center" wrapText="1"/>
      <protection locked="0"/>
    </xf>
    <xf numFmtId="2" fontId="87" fillId="0" borderId="45" xfId="0" applyNumberFormat="1" applyFont="1" applyBorder="1" applyAlignment="1">
      <alignment horizontal="right" vertical="center"/>
    </xf>
    <xf numFmtId="2" fontId="87" fillId="0" borderId="45" xfId="0" applyNumberFormat="1" applyFont="1" applyBorder="1" applyAlignment="1">
      <alignment horizontal="center" vertical="center"/>
    </xf>
    <xf numFmtId="0" fontId="87" fillId="0" borderId="28" xfId="0" applyFont="1" applyBorder="1" applyAlignment="1">
      <alignment/>
    </xf>
    <xf numFmtId="0" fontId="9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right"/>
    </xf>
    <xf numFmtId="1" fontId="9" fillId="0" borderId="42" xfId="0" applyNumberFormat="1" applyFont="1" applyBorder="1" applyAlignment="1">
      <alignment horizontal="right"/>
    </xf>
    <xf numFmtId="1" fontId="9" fillId="0" borderId="44" xfId="0" applyNumberFormat="1" applyFont="1" applyBorder="1" applyAlignment="1">
      <alignment horizontal="right" vertical="center"/>
    </xf>
    <xf numFmtId="0" fontId="9" fillId="0" borderId="45" xfId="57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>
      <alignment vertical="center"/>
    </xf>
    <xf numFmtId="1" fontId="9" fillId="0" borderId="25" xfId="0" applyNumberFormat="1" applyFont="1" applyBorder="1" applyAlignment="1">
      <alignment horizontal="right" vertical="center"/>
    </xf>
    <xf numFmtId="1" fontId="9" fillId="0" borderId="52" xfId="0" applyNumberFormat="1" applyFont="1" applyBorder="1" applyAlignment="1">
      <alignment horizontal="right" vertical="center"/>
    </xf>
    <xf numFmtId="1" fontId="9" fillId="0" borderId="53" xfId="0" applyNumberFormat="1" applyFont="1" applyBorder="1" applyAlignment="1">
      <alignment horizontal="right" vertical="center"/>
    </xf>
    <xf numFmtId="1" fontId="9" fillId="0" borderId="54" xfId="0" applyNumberFormat="1" applyFont="1" applyBorder="1" applyAlignment="1">
      <alignment horizontal="right" vertical="center"/>
    </xf>
    <xf numFmtId="1" fontId="9" fillId="0" borderId="55" xfId="0" applyNumberFormat="1" applyFont="1" applyBorder="1" applyAlignment="1">
      <alignment horizontal="right" vertical="center"/>
    </xf>
    <xf numFmtId="1" fontId="9" fillId="0" borderId="56" xfId="0" applyNumberFormat="1" applyFont="1" applyBorder="1" applyAlignment="1">
      <alignment horizontal="right" vertical="center"/>
    </xf>
    <xf numFmtId="0" fontId="89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horizontal="right" vertical="center"/>
    </xf>
    <xf numFmtId="0" fontId="89" fillId="0" borderId="0" xfId="0" applyFont="1" applyFill="1" applyAlignment="1">
      <alignment horizontal="center"/>
    </xf>
    <xf numFmtId="1" fontId="87" fillId="0" borderId="0" xfId="0" applyNumberFormat="1" applyFont="1" applyFill="1" applyAlignment="1">
      <alignment vertical="center"/>
    </xf>
    <xf numFmtId="1" fontId="87" fillId="0" borderId="0" xfId="0" applyNumberFormat="1" applyFont="1" applyFill="1" applyBorder="1" applyAlignment="1">
      <alignment horizontal="center" vertical="center" textRotation="90"/>
    </xf>
    <xf numFmtId="0" fontId="93" fillId="0" borderId="57" xfId="0" applyFont="1" applyFill="1" applyBorder="1" applyAlignment="1">
      <alignment horizontal="center" vertical="center"/>
    </xf>
    <xf numFmtId="0" fontId="87" fillId="0" borderId="57" xfId="0" applyFont="1" applyFill="1" applyBorder="1" applyAlignment="1">
      <alignment vertical="center"/>
    </xf>
    <xf numFmtId="1" fontId="87" fillId="0" borderId="57" xfId="0" applyNumberFormat="1" applyFont="1" applyFill="1" applyBorder="1" applyAlignment="1">
      <alignment horizontal="right" vertical="center"/>
    </xf>
    <xf numFmtId="1" fontId="87" fillId="0" borderId="50" xfId="0" applyNumberFormat="1" applyFont="1" applyFill="1" applyBorder="1" applyAlignment="1">
      <alignment horizontal="right" vertical="center"/>
    </xf>
    <xf numFmtId="1" fontId="87" fillId="0" borderId="50" xfId="0" applyNumberFormat="1" applyFont="1" applyFill="1" applyBorder="1" applyAlignment="1">
      <alignment vertical="center"/>
    </xf>
    <xf numFmtId="1" fontId="87" fillId="0" borderId="58" xfId="0" applyNumberFormat="1" applyFont="1" applyFill="1" applyBorder="1" applyAlignment="1">
      <alignment horizontal="right" vertical="center"/>
    </xf>
    <xf numFmtId="1" fontId="87" fillId="0" borderId="59" xfId="0" applyNumberFormat="1" applyFont="1" applyFill="1" applyBorder="1" applyAlignment="1">
      <alignment horizontal="right" vertical="center"/>
    </xf>
    <xf numFmtId="1" fontId="87" fillId="0" borderId="60" xfId="0" applyNumberFormat="1" applyFont="1" applyFill="1" applyBorder="1" applyAlignment="1">
      <alignment horizontal="right" vertical="center"/>
    </xf>
    <xf numFmtId="1" fontId="87" fillId="0" borderId="61" xfId="0" applyNumberFormat="1" applyFont="1" applyFill="1" applyBorder="1" applyAlignment="1">
      <alignment horizontal="right" vertical="center"/>
    </xf>
    <xf numFmtId="1" fontId="87" fillId="0" borderId="59" xfId="0" applyNumberFormat="1" applyFont="1" applyFill="1" applyBorder="1" applyAlignment="1">
      <alignment vertical="center"/>
    </xf>
    <xf numFmtId="0" fontId="93" fillId="0" borderId="62" xfId="0" applyFont="1" applyFill="1" applyBorder="1" applyAlignment="1">
      <alignment horizontal="center" vertical="center"/>
    </xf>
    <xf numFmtId="0" fontId="93" fillId="0" borderId="63" xfId="0" applyFont="1" applyFill="1" applyBorder="1" applyAlignment="1">
      <alignment horizontal="center" vertical="center"/>
    </xf>
    <xf numFmtId="1" fontId="87" fillId="0" borderId="58" xfId="0" applyNumberFormat="1" applyFont="1" applyFill="1" applyBorder="1" applyAlignment="1">
      <alignment horizontal="center" vertical="center"/>
    </xf>
    <xf numFmtId="0" fontId="87" fillId="0" borderId="64" xfId="0" applyFont="1" applyFill="1" applyBorder="1" applyAlignment="1">
      <alignment horizontal="center" vertical="center"/>
    </xf>
    <xf numFmtId="1" fontId="87" fillId="0" borderId="65" xfId="0" applyNumberFormat="1" applyFont="1" applyFill="1" applyBorder="1" applyAlignment="1">
      <alignment horizontal="right" vertical="center"/>
    </xf>
    <xf numFmtId="1" fontId="87" fillId="0" borderId="66" xfId="0" applyNumberFormat="1" applyFont="1" applyFill="1" applyBorder="1" applyAlignment="1">
      <alignment vertical="center"/>
    </xf>
    <xf numFmtId="1" fontId="87" fillId="0" borderId="66" xfId="0" applyNumberFormat="1" applyFont="1" applyFill="1" applyBorder="1" applyAlignment="1">
      <alignment horizontal="right" vertical="center"/>
    </xf>
    <xf numFmtId="178" fontId="87" fillId="0" borderId="65" xfId="0" applyNumberFormat="1" applyFont="1" applyFill="1" applyBorder="1" applyAlignment="1">
      <alignment horizontal="right" vertical="center"/>
    </xf>
    <xf numFmtId="0" fontId="93" fillId="0" borderId="67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69" xfId="0" applyFont="1" applyFill="1" applyBorder="1" applyAlignment="1">
      <alignment horizontal="center" vertical="center"/>
    </xf>
    <xf numFmtId="1" fontId="87" fillId="0" borderId="67" xfId="0" applyNumberFormat="1" applyFont="1" applyFill="1" applyBorder="1" applyAlignment="1">
      <alignment vertical="center"/>
    </xf>
    <xf numFmtId="1" fontId="87" fillId="0" borderId="68" xfId="0" applyNumberFormat="1" applyFont="1" applyFill="1" applyBorder="1" applyAlignment="1">
      <alignment vertical="center"/>
    </xf>
    <xf numFmtId="1" fontId="87" fillId="0" borderId="69" xfId="0" applyNumberFormat="1" applyFont="1" applyFill="1" applyBorder="1" applyAlignment="1">
      <alignment vertical="center"/>
    </xf>
    <xf numFmtId="1" fontId="87" fillId="0" borderId="67" xfId="0" applyNumberFormat="1" applyFont="1" applyFill="1" applyBorder="1" applyAlignment="1">
      <alignment horizontal="right" vertical="center"/>
    </xf>
    <xf numFmtId="1" fontId="87" fillId="0" borderId="68" xfId="0" applyNumberFormat="1" applyFont="1" applyFill="1" applyBorder="1" applyAlignment="1">
      <alignment horizontal="right" vertical="center"/>
    </xf>
    <xf numFmtId="1" fontId="87" fillId="0" borderId="69" xfId="0" applyNumberFormat="1" applyFont="1" applyFill="1" applyBorder="1" applyAlignment="1">
      <alignment horizontal="right" vertical="center"/>
    </xf>
    <xf numFmtId="0" fontId="87" fillId="0" borderId="70" xfId="0" applyFont="1" applyFill="1" applyBorder="1" applyAlignment="1">
      <alignment horizontal="center" vertical="center"/>
    </xf>
    <xf numFmtId="0" fontId="87" fillId="0" borderId="71" xfId="0" applyFont="1" applyFill="1" applyBorder="1" applyAlignment="1">
      <alignment horizontal="center" vertical="center"/>
    </xf>
    <xf numFmtId="0" fontId="87" fillId="0" borderId="67" xfId="0" applyFont="1" applyFill="1" applyBorder="1" applyAlignment="1">
      <alignment horizontal="center" vertical="center"/>
    </xf>
    <xf numFmtId="0" fontId="93" fillId="0" borderId="72" xfId="0" applyFont="1" applyFill="1" applyBorder="1" applyAlignment="1">
      <alignment horizontal="center" vertical="center"/>
    </xf>
    <xf numFmtId="1" fontId="87" fillId="0" borderId="73" xfId="0" applyNumberFormat="1" applyFont="1" applyFill="1" applyBorder="1" applyAlignment="1">
      <alignment vertical="center"/>
    </xf>
    <xf numFmtId="1" fontId="87" fillId="0" borderId="73" xfId="0" applyNumberFormat="1" applyFont="1" applyFill="1" applyBorder="1" applyAlignment="1">
      <alignment horizontal="right" vertical="center"/>
    </xf>
    <xf numFmtId="0" fontId="93" fillId="0" borderId="58" xfId="0" applyFont="1" applyFill="1" applyBorder="1" applyAlignment="1">
      <alignment horizontal="center" vertical="center"/>
    </xf>
    <xf numFmtId="1" fontId="87" fillId="0" borderId="74" xfId="0" applyNumberFormat="1" applyFont="1" applyFill="1" applyBorder="1" applyAlignment="1">
      <alignment horizontal="right" vertical="center"/>
    </xf>
    <xf numFmtId="1" fontId="87" fillId="0" borderId="75" xfId="0" applyNumberFormat="1" applyFont="1" applyFill="1" applyBorder="1" applyAlignment="1">
      <alignment horizontal="right" vertical="center"/>
    </xf>
    <xf numFmtId="1" fontId="87" fillId="0" borderId="76" xfId="0" applyNumberFormat="1" applyFont="1" applyFill="1" applyBorder="1" applyAlignment="1">
      <alignment horizontal="right" vertical="center"/>
    </xf>
    <xf numFmtId="1" fontId="87" fillId="0" borderId="77" xfId="0" applyNumberFormat="1" applyFont="1" applyFill="1" applyBorder="1" applyAlignment="1">
      <alignment horizontal="right" vertical="center"/>
    </xf>
    <xf numFmtId="1" fontId="87" fillId="0" borderId="78" xfId="0" applyNumberFormat="1" applyFont="1" applyFill="1" applyBorder="1" applyAlignment="1">
      <alignment horizontal="right" vertical="center"/>
    </xf>
    <xf numFmtId="1" fontId="87" fillId="0" borderId="57" xfId="0" applyNumberFormat="1" applyFont="1" applyFill="1" applyBorder="1" applyAlignment="1">
      <alignment vertical="center"/>
    </xf>
    <xf numFmtId="1" fontId="87" fillId="0" borderId="79" xfId="0" applyNumberFormat="1" applyFont="1" applyFill="1" applyBorder="1" applyAlignment="1">
      <alignment horizontal="right" vertical="center"/>
    </xf>
    <xf numFmtId="1" fontId="87" fillId="0" borderId="80" xfId="0" applyNumberFormat="1" applyFont="1" applyFill="1" applyBorder="1" applyAlignment="1">
      <alignment horizontal="right" vertical="center"/>
    </xf>
    <xf numFmtId="1" fontId="87" fillId="0" borderId="81" xfId="0" applyNumberFormat="1" applyFont="1" applyFill="1" applyBorder="1" applyAlignment="1">
      <alignment horizontal="right" vertical="center"/>
    </xf>
    <xf numFmtId="1" fontId="87" fillId="0" borderId="82" xfId="0" applyNumberFormat="1" applyFont="1" applyFill="1" applyBorder="1" applyAlignment="1">
      <alignment horizontal="right" vertical="center"/>
    </xf>
    <xf numFmtId="1" fontId="87" fillId="0" borderId="64" xfId="0" applyNumberFormat="1" applyFont="1" applyFill="1" applyBorder="1" applyAlignment="1">
      <alignment horizontal="right" vertical="center"/>
    </xf>
    <xf numFmtId="1" fontId="87" fillId="0" borderId="70" xfId="0" applyNumberFormat="1" applyFont="1" applyFill="1" applyBorder="1" applyAlignment="1">
      <alignment horizontal="right" vertical="center"/>
    </xf>
    <xf numFmtId="1" fontId="87" fillId="0" borderId="83" xfId="0" applyNumberFormat="1" applyFont="1" applyFill="1" applyBorder="1" applyAlignment="1">
      <alignment horizontal="right" vertical="center"/>
    </xf>
    <xf numFmtId="1" fontId="87" fillId="0" borderId="84" xfId="0" applyNumberFormat="1" applyFont="1" applyFill="1" applyBorder="1" applyAlignment="1">
      <alignment horizontal="right" vertical="center"/>
    </xf>
    <xf numFmtId="1" fontId="87" fillId="0" borderId="71" xfId="0" applyNumberFormat="1" applyFont="1" applyFill="1" applyBorder="1" applyAlignment="1">
      <alignment horizontal="right" vertical="center"/>
    </xf>
    <xf numFmtId="1" fontId="87" fillId="0" borderId="58" xfId="0" applyNumberFormat="1" applyFont="1" applyFill="1" applyBorder="1" applyAlignment="1">
      <alignment vertical="center"/>
    </xf>
    <xf numFmtId="0" fontId="87" fillId="0" borderId="58" xfId="0" applyFont="1" applyFill="1" applyBorder="1" applyAlignment="1">
      <alignment vertical="center"/>
    </xf>
    <xf numFmtId="0" fontId="93" fillId="0" borderId="58" xfId="0" applyFont="1" applyFill="1" applyBorder="1" applyAlignment="1">
      <alignment vertical="center"/>
    </xf>
    <xf numFmtId="0" fontId="93" fillId="0" borderId="57" xfId="0" applyFont="1" applyFill="1" applyBorder="1" applyAlignment="1">
      <alignment vertical="center"/>
    </xf>
    <xf numFmtId="178" fontId="87" fillId="0" borderId="74" xfId="0" applyNumberFormat="1" applyFont="1" applyFill="1" applyBorder="1" applyAlignment="1">
      <alignment horizontal="right" vertical="center"/>
    </xf>
    <xf numFmtId="178" fontId="87" fillId="0" borderId="75" xfId="0" applyNumberFormat="1" applyFont="1" applyFill="1" applyBorder="1" applyAlignment="1">
      <alignment horizontal="right" vertical="center"/>
    </xf>
    <xf numFmtId="178" fontId="87" fillId="0" borderId="76" xfId="0" applyNumberFormat="1" applyFont="1" applyFill="1" applyBorder="1" applyAlignment="1">
      <alignment horizontal="right" vertical="center"/>
    </xf>
    <xf numFmtId="178" fontId="87" fillId="0" borderId="77" xfId="0" applyNumberFormat="1" applyFont="1" applyFill="1" applyBorder="1" applyAlignment="1">
      <alignment horizontal="right" vertical="center"/>
    </xf>
    <xf numFmtId="178" fontId="87" fillId="0" borderId="79" xfId="0" applyNumberFormat="1" applyFont="1" applyFill="1" applyBorder="1" applyAlignment="1">
      <alignment horizontal="right" vertical="center"/>
    </xf>
    <xf numFmtId="178" fontId="87" fillId="0" borderId="80" xfId="0" applyNumberFormat="1" applyFont="1" applyFill="1" applyBorder="1" applyAlignment="1">
      <alignment horizontal="right" vertical="center"/>
    </xf>
    <xf numFmtId="178" fontId="87" fillId="0" borderId="81" xfId="0" applyNumberFormat="1" applyFont="1" applyFill="1" applyBorder="1" applyAlignment="1">
      <alignment horizontal="right" vertical="center"/>
    </xf>
    <xf numFmtId="178" fontId="87" fillId="0" borderId="64" xfId="0" applyNumberFormat="1" applyFont="1" applyFill="1" applyBorder="1" applyAlignment="1">
      <alignment horizontal="right" vertical="center"/>
    </xf>
    <xf numFmtId="178" fontId="87" fillId="0" borderId="70" xfId="0" applyNumberFormat="1" applyFont="1" applyFill="1" applyBorder="1" applyAlignment="1">
      <alignment horizontal="right" vertical="center"/>
    </xf>
    <xf numFmtId="178" fontId="87" fillId="0" borderId="83" xfId="0" applyNumberFormat="1" applyFont="1" applyFill="1" applyBorder="1" applyAlignment="1">
      <alignment horizontal="right" vertical="center"/>
    </xf>
    <xf numFmtId="178" fontId="87" fillId="0" borderId="84" xfId="0" applyNumberFormat="1" applyFont="1" applyFill="1" applyBorder="1" applyAlignment="1">
      <alignment horizontal="right" vertical="center"/>
    </xf>
    <xf numFmtId="178" fontId="87" fillId="0" borderId="58" xfId="0" applyNumberFormat="1" applyFont="1" applyFill="1" applyBorder="1" applyAlignment="1">
      <alignment horizontal="right" vertical="center"/>
    </xf>
    <xf numFmtId="178" fontId="87" fillId="0" borderId="78" xfId="0" applyNumberFormat="1" applyFont="1" applyFill="1" applyBorder="1" applyAlignment="1">
      <alignment horizontal="right" vertical="center"/>
    </xf>
    <xf numFmtId="178" fontId="87" fillId="0" borderId="82" xfId="0" applyNumberFormat="1" applyFont="1" applyFill="1" applyBorder="1" applyAlignment="1">
      <alignment horizontal="right" vertical="center"/>
    </xf>
    <xf numFmtId="178" fontId="87" fillId="0" borderId="71" xfId="0" applyNumberFormat="1" applyFont="1" applyFill="1" applyBorder="1" applyAlignment="1">
      <alignment horizontal="right" vertical="center"/>
    </xf>
    <xf numFmtId="0" fontId="93" fillId="0" borderId="85" xfId="0" applyFont="1" applyFill="1" applyBorder="1" applyAlignment="1">
      <alignment vertical="center"/>
    </xf>
    <xf numFmtId="0" fontId="93" fillId="0" borderId="86" xfId="0" applyFont="1" applyFill="1" applyBorder="1" applyAlignment="1">
      <alignment vertical="center"/>
    </xf>
    <xf numFmtId="0" fontId="87" fillId="0" borderId="86" xfId="0" applyFont="1" applyFill="1" applyBorder="1" applyAlignment="1">
      <alignment vertical="center"/>
    </xf>
    <xf numFmtId="0" fontId="87" fillId="0" borderId="87" xfId="0" applyFont="1" applyFill="1" applyBorder="1" applyAlignment="1">
      <alignment vertical="center"/>
    </xf>
    <xf numFmtId="0" fontId="93" fillId="0" borderId="85" xfId="0" applyFont="1" applyFill="1" applyBorder="1" applyAlignment="1">
      <alignment horizontal="center" vertical="center"/>
    </xf>
    <xf numFmtId="0" fontId="87" fillId="0" borderId="86" xfId="0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8" fillId="0" borderId="25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0" fillId="0" borderId="28" xfId="0" applyFont="1" applyBorder="1" applyAlignment="1">
      <alignment/>
    </xf>
    <xf numFmtId="1" fontId="90" fillId="0" borderId="28" xfId="0" applyNumberFormat="1" applyFont="1" applyBorder="1" applyAlignment="1">
      <alignment horizontal="center"/>
    </xf>
    <xf numFmtId="0" fontId="90" fillId="0" borderId="54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8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9" fillId="0" borderId="0" xfId="0" applyFont="1" applyBorder="1" applyAlignment="1">
      <alignment horizontal="center"/>
    </xf>
    <xf numFmtId="0" fontId="93" fillId="0" borderId="49" xfId="0" applyFont="1" applyFill="1" applyBorder="1" applyAlignment="1">
      <alignment horizontal="center" vertical="center"/>
    </xf>
    <xf numFmtId="0" fontId="93" fillId="0" borderId="50" xfId="0" applyFont="1" applyFill="1" applyBorder="1" applyAlignment="1">
      <alignment horizontal="center" vertical="center"/>
    </xf>
    <xf numFmtId="0" fontId="93" fillId="0" borderId="51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2" xfId="0" applyFont="1" applyFill="1" applyBorder="1" applyAlignment="1">
      <alignment horizontal="center" vertical="center"/>
    </xf>
    <xf numFmtId="0" fontId="93" fillId="0" borderId="93" xfId="0" applyFont="1" applyFill="1" applyBorder="1" applyAlignment="1">
      <alignment horizontal="center" vertical="center"/>
    </xf>
    <xf numFmtId="0" fontId="93" fillId="0" borderId="94" xfId="0" applyFont="1" applyFill="1" applyBorder="1" applyAlignment="1">
      <alignment horizontal="center" vertical="center"/>
    </xf>
    <xf numFmtId="0" fontId="93" fillId="0" borderId="59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93" fillId="0" borderId="75" xfId="0" applyFont="1" applyFill="1" applyBorder="1" applyAlignment="1">
      <alignment horizontal="center" vertical="center"/>
    </xf>
    <xf numFmtId="0" fontId="93" fillId="0" borderId="77" xfId="0" applyFont="1" applyFill="1" applyBorder="1" applyAlignment="1">
      <alignment horizontal="center" vertical="center"/>
    </xf>
    <xf numFmtId="0" fontId="87" fillId="0" borderId="70" xfId="0" applyFont="1" applyFill="1" applyBorder="1" applyAlignment="1">
      <alignment horizontal="center" vertical="center"/>
    </xf>
    <xf numFmtId="0" fontId="87" fillId="0" borderId="84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93" fillId="0" borderId="97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/>
    </xf>
    <xf numFmtId="0" fontId="93" fillId="0" borderId="57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/>
    </xf>
    <xf numFmtId="0" fontId="93" fillId="0" borderId="6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9" fillId="0" borderId="29" xfId="0" applyFont="1" applyBorder="1" applyAlignment="1">
      <alignment vertical="center" wrapText="1"/>
    </xf>
    <xf numFmtId="0" fontId="97" fillId="0" borderId="0" xfId="0" applyFont="1" applyFill="1" applyAlignment="1">
      <alignment horizontal="center" vertical="center"/>
    </xf>
    <xf numFmtId="0" fontId="97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XONOMY" xfId="57"/>
    <cellStyle name="Normal_أسماك النشره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081"/>
          <c:w val="0.8505"/>
          <c:h val="0.8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Marine Fisheries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Northern Lakes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Coastal Depressions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Inland Lakes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3.26%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River Nile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9.69%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Aquaculture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63%</a:t>
                    </a:r>
                  </a:p>
                </c:rich>
              </c:tx>
              <c:numFmt formatCode="0.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Grf!$A$8:$A$13</c:f>
              <c:strCache/>
            </c:strRef>
          </c:cat>
          <c:val>
            <c:numRef>
              <c:f>Grf!$B$8:$B$13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395"/>
          <c:y val="0.2695"/>
          <c:w val="0.549"/>
          <c:h val="0.4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00" b="0" i="0" u="none" baseline="0">
                        <a:solidFill>
                          <a:srgbClr val="3366FF"/>
                        </a:solidFill>
                      </a:rPr>
                      <a:t>Aquaculture
63.05%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00" b="0" i="0" u="none" baseline="0">
                        <a:solidFill>
                          <a:srgbClr val="993300"/>
                        </a:solidFill>
                      </a:rPr>
                      <a:t>Capture fisheries
36.95%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 Grf'!$B$8:$C$8</c:f>
              <c:strCache/>
            </c:strRef>
          </c:cat>
          <c:val>
            <c:numRef>
              <c:f>'Pr Grf'!$B$9:$C$9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475"/>
          <c:w val="0.9635"/>
          <c:h val="0.98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'Grf92-2007'!$B$6:$Q$6</c:f>
              <c:numCache/>
            </c:numRef>
          </c:cat>
          <c:val>
            <c:numRef>
              <c:f>'Grf92-2007'!$B$7:$Q$7</c:f>
              <c:numCache/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095"/>
          <c:w val="0.959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Sites!$D$8:$D$14</c:f>
              <c:strCache/>
            </c:strRef>
          </c:cat>
          <c:val>
            <c:numRef>
              <c:f>Sites!$E$8:$E$14</c:f>
              <c:numCache/>
            </c:numRef>
          </c:val>
        </c:ser>
        <c:gapWidth val="250"/>
        <c:axId val="40325119"/>
        <c:axId val="27381752"/>
      </c:barChart>
      <c:catAx>
        <c:axId val="40325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Sites</a:t>
                </a:r>
              </a:p>
            </c:rich>
          </c:tx>
          <c:layout>
            <c:manualLayout>
              <c:xMode val="factor"/>
              <c:yMode val="factor"/>
              <c:x val="-0.1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9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Prod.in tons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5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142875</xdr:rowOff>
    </xdr:from>
    <xdr:to>
      <xdr:col>12</xdr:col>
      <xdr:colOff>485775</xdr:colOff>
      <xdr:row>40</xdr:row>
      <xdr:rowOff>19050</xdr:rowOff>
    </xdr:to>
    <xdr:graphicFrame>
      <xdr:nvGraphicFramePr>
        <xdr:cNvPr id="1" name="Chart 2"/>
        <xdr:cNvGraphicFramePr/>
      </xdr:nvGraphicFramePr>
      <xdr:xfrm>
        <a:off x="19050" y="1581150"/>
        <a:ext cx="8401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38100</xdr:rowOff>
    </xdr:from>
    <xdr:to>
      <xdr:col>5</xdr:col>
      <xdr:colOff>19050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47625" y="2781300"/>
        <a:ext cx="7772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0.48975</cdr:x>
      <cdr:y>0.533</cdr:y>
    </cdr:from>
    <cdr:to>
      <cdr:x>0.52725</cdr:x>
      <cdr:y>0.62125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43300" y="2066925"/>
          <a:ext cx="276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14</xdr:col>
      <xdr:colOff>514350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0" y="1714500"/>
        <a:ext cx="7239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1</xdr:col>
      <xdr:colOff>28575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562100"/>
          <a:ext cx="1714500" cy="3810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1771650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1771650" cy="3905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1</xdr:col>
      <xdr:colOff>0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1476375"/>
          <a:ext cx="1533525" cy="4191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7</xdr:col>
      <xdr:colOff>571500</xdr:colOff>
      <xdr:row>36</xdr:row>
      <xdr:rowOff>114300</xdr:rowOff>
    </xdr:to>
    <xdr:graphicFrame>
      <xdr:nvGraphicFramePr>
        <xdr:cNvPr id="1" name="Chart 1025"/>
        <xdr:cNvGraphicFramePr/>
      </xdr:nvGraphicFramePr>
      <xdr:xfrm>
        <a:off x="19050" y="3448050"/>
        <a:ext cx="89439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1575;&#1604;&#1606;&#1588;&#1585;&#1575;&#1578;\&#1593;&#1585;&#1576;&#1609;\&#1606;&#1588;&#1585;&#1607;%202004\&#1575;&#1587;&#1578;&#1586;&#1585;&#1575;&#1593;\&#1575;&#1604;&#1575;&#1587;&#1578;&#1586;&#1585;&#1575;&#1593;%20&#1578;&#1601;&#1589;&#1610;&#1604;&#1609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ستزراع مج منطقة"/>
      <sheetName val="مساحة وانتاج الارز"/>
      <sheetName val="الاقفاص"/>
      <sheetName val="اهليه مؤقتة"/>
      <sheetName val="اهليه مؤجرة"/>
      <sheetName val="اهليه ملك"/>
      <sheetName val="مزارع حكوميه"/>
      <sheetName val="استزراع مكثف"/>
      <sheetName val="الاستزراع 94-2004"/>
      <sheetName val="الاستزراع مصنف 72"/>
    </sheetNames>
    <sheetDataSet>
      <sheetData sheetId="0">
        <row r="14">
          <cell r="H14" t="str">
            <v>-</v>
          </cell>
        </row>
        <row r="15">
          <cell r="H1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29"/>
  <sheetViews>
    <sheetView zoomScalePageLayoutView="0" workbookViewId="0" topLeftCell="A1">
      <selection activeCell="A5" sqref="A5:Q5"/>
    </sheetView>
  </sheetViews>
  <sheetFormatPr defaultColWidth="9.140625" defaultRowHeight="12.75"/>
  <cols>
    <col min="1" max="1" width="9.7109375" style="36" customWidth="1"/>
    <col min="2" max="2" width="11.421875" style="36" customWidth="1"/>
    <col min="3" max="3" width="7.140625" style="36" customWidth="1"/>
    <col min="4" max="4" width="6.8515625" style="36" customWidth="1"/>
    <col min="5" max="5" width="5.421875" style="36" customWidth="1"/>
    <col min="6" max="6" width="5.8515625" style="36" customWidth="1"/>
    <col min="7" max="7" width="5.57421875" style="36" customWidth="1"/>
    <col min="8" max="8" width="6.7109375" style="36" customWidth="1"/>
    <col min="9" max="9" width="6.00390625" style="36" customWidth="1"/>
    <col min="10" max="10" width="6.421875" style="36" customWidth="1"/>
    <col min="11" max="11" width="6.140625" style="37" customWidth="1"/>
    <col min="12" max="12" width="8.00390625" style="37" customWidth="1"/>
    <col min="13" max="13" width="5.7109375" style="36" customWidth="1"/>
    <col min="14" max="14" width="6.00390625" style="36" customWidth="1"/>
    <col min="15" max="15" width="6.28125" style="15" customWidth="1"/>
    <col min="16" max="16" width="7.140625" style="15" customWidth="1"/>
    <col min="17" max="17" width="8.140625" style="15" customWidth="1"/>
    <col min="18" max="16384" width="9.140625" style="15" customWidth="1"/>
  </cols>
  <sheetData>
    <row r="1" spans="1:5" ht="15.75">
      <c r="A1" s="358" t="s">
        <v>0</v>
      </c>
      <c r="B1" s="358"/>
      <c r="C1" s="358"/>
      <c r="D1" s="35"/>
      <c r="E1" s="35"/>
    </row>
    <row r="2" spans="1:5" ht="15.75">
      <c r="A2" s="358" t="s">
        <v>1</v>
      </c>
      <c r="B2" s="358"/>
      <c r="C2" s="358"/>
      <c r="D2" s="358"/>
      <c r="E2" s="35"/>
    </row>
    <row r="3" spans="1:5" ht="15.75">
      <c r="A3" s="358" t="s">
        <v>2</v>
      </c>
      <c r="B3" s="358"/>
      <c r="C3" s="358"/>
      <c r="D3" s="358"/>
      <c r="E3" s="358"/>
    </row>
    <row r="4" ht="24.75" customHeight="1">
      <c r="A4" s="35"/>
    </row>
    <row r="5" spans="1:17" ht="23.25" customHeight="1">
      <c r="A5" s="359" t="s">
        <v>135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</row>
    <row r="6" spans="1:17" ht="23.25" customHeight="1" thickBot="1">
      <c r="A6" s="359" t="s">
        <v>176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1:17" ht="30" customHeight="1" thickBot="1" thickTop="1">
      <c r="A7" s="350" t="s">
        <v>56</v>
      </c>
      <c r="B7" s="351"/>
      <c r="C7" s="38">
        <v>93</v>
      </c>
      <c r="D7" s="38">
        <v>94</v>
      </c>
      <c r="E7" s="38">
        <v>95</v>
      </c>
      <c r="F7" s="38">
        <v>96</v>
      </c>
      <c r="G7" s="38">
        <v>97</v>
      </c>
      <c r="H7" s="38">
        <v>98</v>
      </c>
      <c r="I7" s="38">
        <v>99</v>
      </c>
      <c r="J7" s="38">
        <v>2000</v>
      </c>
      <c r="K7" s="39">
        <v>2001</v>
      </c>
      <c r="L7" s="39">
        <v>2002</v>
      </c>
      <c r="M7" s="40">
        <v>2003</v>
      </c>
      <c r="N7" s="40">
        <v>2004</v>
      </c>
      <c r="O7" s="40">
        <v>2005</v>
      </c>
      <c r="P7" s="40">
        <v>2006</v>
      </c>
      <c r="Q7" s="41">
        <v>2007</v>
      </c>
    </row>
    <row r="8" spans="1:17" ht="30" customHeight="1" thickTop="1">
      <c r="A8" s="355" t="s">
        <v>162</v>
      </c>
      <c r="B8" s="42" t="s">
        <v>156</v>
      </c>
      <c r="C8" s="43">
        <v>44.721</v>
      </c>
      <c r="D8" s="43">
        <v>45.633</v>
      </c>
      <c r="E8" s="43">
        <v>43.707</v>
      </c>
      <c r="F8" s="43">
        <v>51.089</v>
      </c>
      <c r="G8" s="43">
        <v>52.748</v>
      </c>
      <c r="H8" s="43">
        <v>68</v>
      </c>
      <c r="I8" s="43">
        <v>89.943</v>
      </c>
      <c r="J8" s="43">
        <v>54.872</v>
      </c>
      <c r="K8" s="43">
        <v>59.624</v>
      </c>
      <c r="L8" s="43">
        <v>59.619</v>
      </c>
      <c r="M8" s="43">
        <f>46973/1000</f>
        <v>46.973</v>
      </c>
      <c r="N8" s="43">
        <f>Pr2007!C9/1000</f>
        <v>83.762</v>
      </c>
      <c r="O8" s="43">
        <v>56.721</v>
      </c>
      <c r="P8" s="43">
        <v>72.666</v>
      </c>
      <c r="Q8" s="44">
        <v>83.76</v>
      </c>
    </row>
    <row r="9" spans="1:17" ht="30" customHeight="1">
      <c r="A9" s="354"/>
      <c r="B9" s="45" t="s">
        <v>70</v>
      </c>
      <c r="C9" s="46">
        <v>50.9</v>
      </c>
      <c r="D9" s="46">
        <v>48.342</v>
      </c>
      <c r="E9" s="46">
        <v>47.257</v>
      </c>
      <c r="F9" s="46">
        <v>48.434</v>
      </c>
      <c r="G9" s="46">
        <v>57.417</v>
      </c>
      <c r="H9" s="46">
        <v>57.063</v>
      </c>
      <c r="I9" s="46">
        <v>82.4</v>
      </c>
      <c r="J9" s="46">
        <v>75.972</v>
      </c>
      <c r="K9" s="46">
        <v>73.549</v>
      </c>
      <c r="L9" s="46">
        <v>72.889</v>
      </c>
      <c r="M9" s="46">
        <f>70408/1000</f>
        <v>70.408</v>
      </c>
      <c r="N9" s="46">
        <f>Pr2007!C10/1000</f>
        <v>46.986</v>
      </c>
      <c r="O9" s="46">
        <v>50.732</v>
      </c>
      <c r="P9" s="47">
        <v>46.94</v>
      </c>
      <c r="Q9" s="48">
        <v>46.986</v>
      </c>
    </row>
    <row r="10" spans="1:17" ht="30" customHeight="1">
      <c r="A10" s="352" t="s">
        <v>159</v>
      </c>
      <c r="B10" s="45" t="s">
        <v>4</v>
      </c>
      <c r="C10" s="46">
        <v>63.6</v>
      </c>
      <c r="D10" s="46">
        <v>59.014</v>
      </c>
      <c r="E10" s="46">
        <v>59.6</v>
      </c>
      <c r="F10" s="46">
        <v>52.505</v>
      </c>
      <c r="G10" s="46">
        <v>63.098</v>
      </c>
      <c r="H10" s="46">
        <v>78.261</v>
      </c>
      <c r="I10" s="46">
        <v>65</v>
      </c>
      <c r="J10" s="46">
        <v>74.132</v>
      </c>
      <c r="K10" s="46">
        <v>68.4</v>
      </c>
      <c r="L10" s="46">
        <v>58.4</v>
      </c>
      <c r="M10" s="46">
        <f>65015/1000</f>
        <v>65.015</v>
      </c>
      <c r="N10" s="46">
        <f>Pr2007!C11/1000</f>
        <v>36.783</v>
      </c>
      <c r="O10" s="46">
        <v>39.857</v>
      </c>
      <c r="P10" s="46">
        <v>41.193</v>
      </c>
      <c r="Q10" s="48">
        <v>36.783</v>
      </c>
    </row>
    <row r="11" spans="1:17" ht="30" customHeight="1">
      <c r="A11" s="353"/>
      <c r="B11" s="45" t="s">
        <v>5</v>
      </c>
      <c r="C11" s="46">
        <v>47.982</v>
      </c>
      <c r="D11" s="46">
        <v>55.067</v>
      </c>
      <c r="E11" s="46">
        <v>59.193</v>
      </c>
      <c r="F11" s="46">
        <v>59.351</v>
      </c>
      <c r="G11" s="46">
        <v>58.746</v>
      </c>
      <c r="H11" s="46">
        <v>59.033</v>
      </c>
      <c r="I11" s="46">
        <v>55.3</v>
      </c>
      <c r="J11" s="46">
        <v>51.768</v>
      </c>
      <c r="K11" s="46">
        <v>59.2</v>
      </c>
      <c r="L11" s="46">
        <v>59.785</v>
      </c>
      <c r="M11" s="46">
        <f>55500/1000</f>
        <v>55.5</v>
      </c>
      <c r="N11" s="46">
        <f>Pr2007!C12/1000</f>
        <v>58.291</v>
      </c>
      <c r="O11" s="46">
        <v>53.909</v>
      </c>
      <c r="P11" s="46">
        <v>52.956</v>
      </c>
      <c r="Q11" s="48">
        <v>58.291</v>
      </c>
    </row>
    <row r="12" spans="1:17" ht="30" customHeight="1">
      <c r="A12" s="353"/>
      <c r="B12" s="45" t="s">
        <v>151</v>
      </c>
      <c r="C12" s="46">
        <v>8.3</v>
      </c>
      <c r="D12" s="46">
        <v>9.672</v>
      </c>
      <c r="E12" s="46">
        <v>8.209</v>
      </c>
      <c r="F12" s="46">
        <v>10.125</v>
      </c>
      <c r="G12" s="46">
        <v>10.784</v>
      </c>
      <c r="H12" s="46">
        <v>10.28</v>
      </c>
      <c r="I12" s="46">
        <v>9.494</v>
      </c>
      <c r="J12" s="46">
        <v>8.922</v>
      </c>
      <c r="K12" s="46">
        <v>10.91</v>
      </c>
      <c r="L12" s="46">
        <v>10.336</v>
      </c>
      <c r="M12" s="46">
        <v>10.23</v>
      </c>
      <c r="N12" s="46">
        <f>Pr2007!C13/1000</f>
        <v>6.645</v>
      </c>
      <c r="O12" s="46">
        <v>9.619</v>
      </c>
      <c r="P12" s="46">
        <v>8.986</v>
      </c>
      <c r="Q12" s="48">
        <v>6.645</v>
      </c>
    </row>
    <row r="13" spans="1:17" ht="30" customHeight="1">
      <c r="A13" s="353"/>
      <c r="B13" s="45" t="s">
        <v>152</v>
      </c>
      <c r="C13" s="46">
        <v>3.683</v>
      </c>
      <c r="D13" s="46">
        <v>3.516</v>
      </c>
      <c r="E13" s="46">
        <v>3.466</v>
      </c>
      <c r="F13" s="46">
        <v>3.976</v>
      </c>
      <c r="G13" s="46">
        <v>4.489</v>
      </c>
      <c r="H13" s="46">
        <v>4.521</v>
      </c>
      <c r="I13" s="46">
        <v>5.235</v>
      </c>
      <c r="J13" s="46">
        <v>6.378</v>
      </c>
      <c r="K13" s="46">
        <v>6.2</v>
      </c>
      <c r="L13" s="46">
        <v>5.303</v>
      </c>
      <c r="M13" s="46">
        <v>4.861</v>
      </c>
      <c r="N13" s="46">
        <f>Pr2007!C14/1000</f>
        <v>4.413</v>
      </c>
      <c r="O13" s="46">
        <v>5.292</v>
      </c>
      <c r="P13" s="46">
        <v>5.211</v>
      </c>
      <c r="Q13" s="48">
        <v>4.413</v>
      </c>
    </row>
    <row r="14" spans="1:17" ht="30" customHeight="1">
      <c r="A14" s="352" t="s">
        <v>160</v>
      </c>
      <c r="B14" s="45" t="s">
        <v>74</v>
      </c>
      <c r="C14" s="46">
        <v>2.205</v>
      </c>
      <c r="D14" s="46">
        <v>1.575</v>
      </c>
      <c r="E14" s="46">
        <v>2.172</v>
      </c>
      <c r="F14" s="46">
        <v>1.627</v>
      </c>
      <c r="G14" s="46">
        <v>2.23</v>
      </c>
      <c r="H14" s="46">
        <v>1.937</v>
      </c>
      <c r="I14" s="46">
        <v>3.86</v>
      </c>
      <c r="J14" s="46">
        <v>3.3</v>
      </c>
      <c r="K14" s="46">
        <v>3.146</v>
      </c>
      <c r="L14" s="46">
        <v>3.1</v>
      </c>
      <c r="M14" s="46">
        <v>3.3</v>
      </c>
      <c r="N14" s="46">
        <f>Pr2007!C15/1000</f>
        <v>4.729</v>
      </c>
      <c r="O14" s="46">
        <v>3.534</v>
      </c>
      <c r="P14" s="46">
        <v>4.142</v>
      </c>
      <c r="Q14" s="48">
        <v>4.729</v>
      </c>
    </row>
    <row r="15" spans="1:17" ht="30" customHeight="1">
      <c r="A15" s="354"/>
      <c r="B15" s="45" t="s">
        <v>7</v>
      </c>
      <c r="C15" s="46">
        <v>0.2</v>
      </c>
      <c r="D15" s="46">
        <v>0.2</v>
      </c>
      <c r="E15" s="46">
        <v>0.113</v>
      </c>
      <c r="F15" s="46">
        <v>0.205</v>
      </c>
      <c r="G15" s="46">
        <v>0.154</v>
      </c>
      <c r="H15" s="46">
        <v>0.189</v>
      </c>
      <c r="I15" s="46">
        <v>0.157</v>
      </c>
      <c r="J15" s="46">
        <v>0.141</v>
      </c>
      <c r="K15" s="46">
        <v>0.162</v>
      </c>
      <c r="L15" s="46">
        <v>0.19</v>
      </c>
      <c r="M15" s="46">
        <v>0.185</v>
      </c>
      <c r="N15" s="46">
        <f>Pr2007!C16/1000</f>
        <v>0.321</v>
      </c>
      <c r="O15" s="46">
        <v>0.152</v>
      </c>
      <c r="P15" s="46">
        <v>0.096</v>
      </c>
      <c r="Q15" s="48">
        <v>0.321</v>
      </c>
    </row>
    <row r="16" spans="1:17" ht="30" customHeight="1">
      <c r="A16" s="352" t="s">
        <v>161</v>
      </c>
      <c r="B16" s="45" t="s">
        <v>153</v>
      </c>
      <c r="C16" s="46">
        <v>0.799</v>
      </c>
      <c r="D16" s="46">
        <v>0.444</v>
      </c>
      <c r="E16" s="46">
        <v>0.703</v>
      </c>
      <c r="F16" s="46">
        <v>0.856</v>
      </c>
      <c r="G16" s="46">
        <v>0.906</v>
      </c>
      <c r="H16" s="46">
        <v>1.025</v>
      </c>
      <c r="I16" s="46">
        <v>1.513</v>
      </c>
      <c r="J16" s="46">
        <v>1.819</v>
      </c>
      <c r="K16" s="46">
        <v>1.396</v>
      </c>
      <c r="L16" s="46">
        <v>1.925</v>
      </c>
      <c r="M16" s="46">
        <v>2.452</v>
      </c>
      <c r="N16" s="46">
        <f>Pr2007!C17/1000</f>
        <v>3.072</v>
      </c>
      <c r="O16" s="46">
        <v>3.03</v>
      </c>
      <c r="P16" s="46">
        <v>1.648</v>
      </c>
      <c r="Q16" s="48">
        <v>3.072</v>
      </c>
    </row>
    <row r="17" spans="1:17" ht="30" customHeight="1">
      <c r="A17" s="352"/>
      <c r="B17" s="45" t="s">
        <v>21</v>
      </c>
      <c r="C17" s="46">
        <v>0.527</v>
      </c>
      <c r="D17" s="46">
        <v>0.481</v>
      </c>
      <c r="E17" s="46">
        <v>0.612</v>
      </c>
      <c r="F17" s="46">
        <v>0.702</v>
      </c>
      <c r="G17" s="46">
        <v>0.876</v>
      </c>
      <c r="H17" s="46">
        <v>1.073</v>
      </c>
      <c r="I17" s="46">
        <v>1.654</v>
      </c>
      <c r="J17" s="46">
        <v>1.876</v>
      </c>
      <c r="K17" s="46">
        <v>0.861</v>
      </c>
      <c r="L17" s="46">
        <v>1.231</v>
      </c>
      <c r="M17" s="46">
        <v>1.313</v>
      </c>
      <c r="N17" s="46">
        <f>Pr2007!C18/1000</f>
        <v>2.126</v>
      </c>
      <c r="O17" s="46">
        <v>1.99</v>
      </c>
      <c r="P17" s="46">
        <v>1.691</v>
      </c>
      <c r="Q17" s="48">
        <v>2.126</v>
      </c>
    </row>
    <row r="18" spans="1:17" ht="30" customHeight="1">
      <c r="A18" s="352"/>
      <c r="B18" s="45" t="s">
        <v>8</v>
      </c>
      <c r="C18" s="46">
        <v>28.719</v>
      </c>
      <c r="D18" s="46">
        <v>32.428</v>
      </c>
      <c r="E18" s="46">
        <v>50.93</v>
      </c>
      <c r="F18" s="46">
        <v>45.401</v>
      </c>
      <c r="G18" s="46">
        <v>52.627</v>
      </c>
      <c r="H18" s="46">
        <v>53.819</v>
      </c>
      <c r="I18" s="46">
        <v>41.304</v>
      </c>
      <c r="J18" s="46">
        <v>16.812</v>
      </c>
      <c r="K18" s="46">
        <v>28.153</v>
      </c>
      <c r="L18" s="46">
        <v>23.371</v>
      </c>
      <c r="M18" s="46">
        <f>41315/1000</f>
        <v>41.315</v>
      </c>
      <c r="N18" s="46">
        <f>Pr2007!C19/1000</f>
        <v>19.592</v>
      </c>
      <c r="O18" s="46">
        <v>30.57</v>
      </c>
      <c r="P18" s="46">
        <v>25.817</v>
      </c>
      <c r="Q18" s="48">
        <v>19.592</v>
      </c>
    </row>
    <row r="19" spans="1:17" ht="30" customHeight="1">
      <c r="A19" s="352"/>
      <c r="B19" s="45" t="s">
        <v>146</v>
      </c>
      <c r="C19" s="46" t="s">
        <v>84</v>
      </c>
      <c r="D19" s="46" t="s">
        <v>84</v>
      </c>
      <c r="E19" s="46" t="s">
        <v>84</v>
      </c>
      <c r="F19" s="46" t="s">
        <v>84</v>
      </c>
      <c r="G19" s="46" t="s">
        <v>84</v>
      </c>
      <c r="H19" s="46" t="s">
        <v>84</v>
      </c>
      <c r="I19" s="46" t="s">
        <v>84</v>
      </c>
      <c r="J19" s="46">
        <v>2.2</v>
      </c>
      <c r="K19" s="46">
        <v>1.519</v>
      </c>
      <c r="L19" s="46">
        <v>2.5</v>
      </c>
      <c r="M19" s="46">
        <v>5.078</v>
      </c>
      <c r="N19" s="46">
        <f>Pr2007!C20/1000</f>
        <v>2.791</v>
      </c>
      <c r="O19" s="46">
        <v>4.045</v>
      </c>
      <c r="P19" s="46">
        <v>2.931</v>
      </c>
      <c r="Q19" s="48">
        <v>2.791</v>
      </c>
    </row>
    <row r="20" spans="1:17" ht="30" customHeight="1">
      <c r="A20" s="352"/>
      <c r="B20" s="49" t="s">
        <v>57</v>
      </c>
      <c r="C20" s="46">
        <v>1.2</v>
      </c>
      <c r="D20" s="46">
        <v>1.3</v>
      </c>
      <c r="E20" s="46">
        <v>1.492</v>
      </c>
      <c r="F20" s="46">
        <v>1.789</v>
      </c>
      <c r="G20" s="46">
        <v>1.722</v>
      </c>
      <c r="H20" s="46">
        <v>2.751</v>
      </c>
      <c r="I20" s="46">
        <v>2.821</v>
      </c>
      <c r="J20" s="46">
        <v>5.786</v>
      </c>
      <c r="K20" s="46">
        <v>5.444</v>
      </c>
      <c r="L20" s="46">
        <v>5.669</v>
      </c>
      <c r="M20" s="46">
        <v>5.879</v>
      </c>
      <c r="N20" s="46">
        <f>Pr2007!C21/1000</f>
        <v>4.788</v>
      </c>
      <c r="O20" s="46">
        <v>6.289</v>
      </c>
      <c r="P20" s="46">
        <v>6.162</v>
      </c>
      <c r="Q20" s="48">
        <v>4.788</v>
      </c>
    </row>
    <row r="21" spans="1:17" ht="30" customHeight="1">
      <c r="A21" s="352"/>
      <c r="B21" s="45" t="s">
        <v>166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>
        <v>0.479</v>
      </c>
      <c r="Q21" s="48">
        <v>0.482</v>
      </c>
    </row>
    <row r="22" spans="1:17" ht="30" customHeight="1">
      <c r="A22" s="50" t="s">
        <v>157</v>
      </c>
      <c r="B22" s="45" t="s">
        <v>157</v>
      </c>
      <c r="C22" s="46">
        <v>49.897</v>
      </c>
      <c r="D22" s="46">
        <v>57.512</v>
      </c>
      <c r="E22" s="46">
        <v>57.873</v>
      </c>
      <c r="F22" s="46">
        <v>64.403</v>
      </c>
      <c r="G22" s="46">
        <v>65.535</v>
      </c>
      <c r="H22" s="46">
        <v>68.252</v>
      </c>
      <c r="I22" s="46">
        <v>63.981</v>
      </c>
      <c r="J22" s="46">
        <f>0.015+80.321</f>
        <v>80.336</v>
      </c>
      <c r="K22" s="46">
        <f>0.2+109.887</f>
        <v>110.087</v>
      </c>
      <c r="L22" s="46">
        <v>120.852</v>
      </c>
      <c r="M22" s="46">
        <f>118300/1000</f>
        <v>118.3</v>
      </c>
      <c r="N22" s="46">
        <f>Pr2007!C23/1000</f>
        <v>97.71</v>
      </c>
      <c r="O22" s="46">
        <v>83.803</v>
      </c>
      <c r="P22" s="46">
        <v>104.976</v>
      </c>
      <c r="Q22" s="48">
        <v>97.71</v>
      </c>
    </row>
    <row r="23" spans="1:17" ht="30" customHeight="1">
      <c r="A23" s="50"/>
      <c r="B23" s="45" t="s">
        <v>136</v>
      </c>
      <c r="C23" s="46" t="s">
        <v>84</v>
      </c>
      <c r="D23" s="46" t="s">
        <v>84</v>
      </c>
      <c r="E23" s="46">
        <v>10</v>
      </c>
      <c r="F23" s="46">
        <v>15.343</v>
      </c>
      <c r="G23" s="46">
        <v>12.25</v>
      </c>
      <c r="H23" s="46">
        <v>10.9</v>
      </c>
      <c r="I23" s="46">
        <v>12.39</v>
      </c>
      <c r="J23" s="46" t="s">
        <v>84</v>
      </c>
      <c r="K23" s="46" t="s">
        <v>84</v>
      </c>
      <c r="L23" s="46" t="s">
        <v>84</v>
      </c>
      <c r="M23" s="46" t="s">
        <v>84</v>
      </c>
      <c r="N23" s="46" t="s">
        <v>84</v>
      </c>
      <c r="O23" s="46" t="s">
        <v>84</v>
      </c>
      <c r="P23" s="46" t="s">
        <v>84</v>
      </c>
      <c r="Q23" s="51" t="s">
        <v>84</v>
      </c>
    </row>
    <row r="24" spans="1:17" ht="30" customHeight="1">
      <c r="A24" s="50" t="s">
        <v>24</v>
      </c>
      <c r="B24" s="45" t="s">
        <v>134</v>
      </c>
      <c r="C24" s="46">
        <f>34.66+0.34</f>
        <v>35</v>
      </c>
      <c r="D24" s="46">
        <f>34.043+0.957</f>
        <v>35</v>
      </c>
      <c r="E24" s="46">
        <f>6.582+33.311</f>
        <v>39.893</v>
      </c>
      <c r="F24" s="46">
        <f>7.155+45.698</f>
        <v>52.853</v>
      </c>
      <c r="G24" s="46">
        <f>7.861+56.599</f>
        <v>64.46</v>
      </c>
      <c r="H24" s="46">
        <f>7.076+106.118</f>
        <v>113.19399999999999</v>
      </c>
      <c r="I24" s="46">
        <f>6.279+184.761</f>
        <v>191.04</v>
      </c>
      <c r="J24" s="46">
        <f>8.769+298.895+0.015</f>
        <v>307.679</v>
      </c>
      <c r="K24" s="46">
        <f>6.744+294.033</f>
        <v>300.77700000000004</v>
      </c>
      <c r="L24" s="46">
        <f>7.13+323.421+0.23+1.015</f>
        <v>331.796</v>
      </c>
      <c r="M24" s="46">
        <f>7.256+387.516+0.314+1.03</f>
        <v>396.11600000000004</v>
      </c>
      <c r="N24" s="46">
        <f>Pr2007!$G$24/1000</f>
        <v>0</v>
      </c>
      <c r="O24" s="46">
        <f>7.587+492.246+2.472</f>
        <v>502.30499999999995</v>
      </c>
      <c r="P24" s="46">
        <f>7.954+498.885+2.472</f>
        <v>509.311</v>
      </c>
      <c r="Q24" s="48">
        <f>8.539+557.822+1.58</f>
        <v>567.941</v>
      </c>
    </row>
    <row r="25" spans="1:17" ht="30" customHeight="1">
      <c r="A25" s="50"/>
      <c r="B25" s="45" t="s">
        <v>49</v>
      </c>
      <c r="C25" s="46" t="s">
        <v>84</v>
      </c>
      <c r="D25" s="46" t="s">
        <v>84</v>
      </c>
      <c r="E25" s="46">
        <v>1.977</v>
      </c>
      <c r="F25" s="46">
        <v>1.72</v>
      </c>
      <c r="G25" s="46">
        <v>2.103</v>
      </c>
      <c r="H25" s="46">
        <v>2.855</v>
      </c>
      <c r="I25" s="46">
        <v>12.885</v>
      </c>
      <c r="J25" s="46">
        <v>16.069</v>
      </c>
      <c r="K25" s="46">
        <v>23.716</v>
      </c>
      <c r="L25" s="46">
        <v>28.166</v>
      </c>
      <c r="M25" s="46">
        <v>32.059</v>
      </c>
      <c r="N25" s="46">
        <f>Pr2007!$C$26/1000</f>
        <v>62.276</v>
      </c>
      <c r="O25" s="46">
        <v>19.838</v>
      </c>
      <c r="P25" s="46">
        <v>80.14</v>
      </c>
      <c r="Q25" s="48">
        <v>62.276</v>
      </c>
    </row>
    <row r="26" spans="1:17" ht="30" customHeight="1" thickBot="1">
      <c r="A26" s="52"/>
      <c r="B26" s="53" t="s">
        <v>13</v>
      </c>
      <c r="C26" s="54">
        <v>19</v>
      </c>
      <c r="D26" s="54">
        <v>18</v>
      </c>
      <c r="E26" s="54">
        <v>19.836</v>
      </c>
      <c r="F26" s="54">
        <v>21.264</v>
      </c>
      <c r="G26" s="54">
        <v>6.891</v>
      </c>
      <c r="H26" s="54">
        <v>12.44</v>
      </c>
      <c r="I26" s="54">
        <v>9.962</v>
      </c>
      <c r="J26" s="54">
        <v>16.36</v>
      </c>
      <c r="K26" s="54">
        <v>18.371</v>
      </c>
      <c r="L26" s="54">
        <v>16.334</v>
      </c>
      <c r="M26" s="54">
        <v>17.006</v>
      </c>
      <c r="N26" s="54">
        <f>Pr2007!$C$27/1000</f>
        <v>5.3</v>
      </c>
      <c r="O26" s="54">
        <v>17.602</v>
      </c>
      <c r="P26" s="54">
        <v>5.576</v>
      </c>
      <c r="Q26" s="55">
        <v>5.3</v>
      </c>
    </row>
    <row r="27" spans="1:17" ht="30" customHeight="1" thickBot="1" thickTop="1">
      <c r="A27" s="348" t="s">
        <v>14</v>
      </c>
      <c r="B27" s="349"/>
      <c r="C27" s="56">
        <f aca="true" t="shared" si="0" ref="C27:Q27">SUM(C8:C26)</f>
        <v>356.733</v>
      </c>
      <c r="D27" s="56">
        <f t="shared" si="0"/>
        <v>368.18399999999997</v>
      </c>
      <c r="E27" s="34">
        <f t="shared" si="0"/>
        <v>407.033</v>
      </c>
      <c r="F27" s="56">
        <f t="shared" si="0"/>
        <v>431.6430000000001</v>
      </c>
      <c r="G27" s="34">
        <f t="shared" si="0"/>
        <v>457.036</v>
      </c>
      <c r="H27" s="56">
        <f t="shared" si="0"/>
        <v>545.5930000000001</v>
      </c>
      <c r="I27" s="56">
        <f t="shared" si="0"/>
        <v>648.939</v>
      </c>
      <c r="J27" s="56">
        <f t="shared" si="0"/>
        <v>724.422</v>
      </c>
      <c r="K27" s="56">
        <f t="shared" si="0"/>
        <v>771.5150000000001</v>
      </c>
      <c r="L27" s="57">
        <f t="shared" si="0"/>
        <v>801.4659999999999</v>
      </c>
      <c r="M27" s="34">
        <f t="shared" si="0"/>
        <v>875.9899999999999</v>
      </c>
      <c r="N27" s="34">
        <f t="shared" si="0"/>
        <v>439.58500000000004</v>
      </c>
      <c r="O27" s="56">
        <f t="shared" si="0"/>
        <v>889.2879999999999</v>
      </c>
      <c r="P27" s="58">
        <f t="shared" si="0"/>
        <v>970.9209999999999</v>
      </c>
      <c r="Q27" s="33">
        <f t="shared" si="0"/>
        <v>1008.006</v>
      </c>
    </row>
    <row r="28" spans="1:15" ht="30" customHeight="1" thickTop="1">
      <c r="A28" s="356" t="s">
        <v>179</v>
      </c>
      <c r="B28" s="356"/>
      <c r="C28" s="356"/>
      <c r="D28" s="356"/>
      <c r="E28" s="356"/>
      <c r="F28" s="356"/>
      <c r="G28" s="356"/>
      <c r="H28" s="356"/>
      <c r="O28" s="59"/>
    </row>
    <row r="29" spans="1:7" ht="30" customHeight="1">
      <c r="A29" s="357" t="s">
        <v>137</v>
      </c>
      <c r="B29" s="357"/>
      <c r="C29" s="357"/>
      <c r="D29" s="357"/>
      <c r="E29" s="357"/>
      <c r="F29" s="357"/>
      <c r="G29" s="357"/>
    </row>
  </sheetData>
  <sheetProtection/>
  <mergeCells count="13">
    <mergeCell ref="A28:H28"/>
    <mergeCell ref="A29:G29"/>
    <mergeCell ref="A1:C1"/>
    <mergeCell ref="A2:D2"/>
    <mergeCell ref="A3:E3"/>
    <mergeCell ref="A5:Q5"/>
    <mergeCell ref="A6:Q6"/>
    <mergeCell ref="A27:B27"/>
    <mergeCell ref="A7:B7"/>
    <mergeCell ref="A10:A13"/>
    <mergeCell ref="A14:A15"/>
    <mergeCell ref="A8:A9"/>
    <mergeCell ref="A16:A21"/>
  </mergeCells>
  <printOptions/>
  <pageMargins left="0.1968503937007874" right="0.1968503937007874" top="0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&amp;C[ 5 ]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A7">
      <selection activeCell="A15" sqref="A15"/>
    </sheetView>
  </sheetViews>
  <sheetFormatPr defaultColWidth="9.140625" defaultRowHeight="12.75"/>
  <cols>
    <col min="1" max="3" width="10.7109375" style="0" customWidth="1"/>
    <col min="4" max="4" width="48.7109375" style="0" customWidth="1"/>
    <col min="5" max="5" width="26.7109375" style="0" customWidth="1"/>
    <col min="14" max="14" width="23.421875" style="0" customWidth="1"/>
  </cols>
  <sheetData>
    <row r="1" spans="1:8" s="1" customFormat="1" ht="15.75">
      <c r="A1" s="404" t="s">
        <v>0</v>
      </c>
      <c r="B1" s="404"/>
      <c r="C1" s="404"/>
      <c r="D1" s="3"/>
      <c r="E1" s="3"/>
      <c r="F1" s="3"/>
      <c r="G1" s="3"/>
      <c r="H1" s="3"/>
    </row>
    <row r="2" spans="1:8" s="1" customFormat="1" ht="15.75">
      <c r="A2" s="404" t="s">
        <v>1</v>
      </c>
      <c r="B2" s="404"/>
      <c r="C2" s="404"/>
      <c r="D2" s="3"/>
      <c r="E2" s="3"/>
      <c r="F2" s="3"/>
      <c r="G2" s="3"/>
      <c r="H2" s="3"/>
    </row>
    <row r="3" spans="1:8" s="1" customFormat="1" ht="15.75">
      <c r="A3" s="404" t="s">
        <v>2</v>
      </c>
      <c r="B3" s="404"/>
      <c r="C3" s="404"/>
      <c r="D3" s="404"/>
      <c r="E3" s="3"/>
      <c r="F3" s="3"/>
      <c r="G3" s="3"/>
      <c r="H3" s="3"/>
    </row>
    <row r="4" spans="1:8" s="1" customFormat="1" ht="22.5" customHeight="1">
      <c r="A4" s="3"/>
      <c r="B4" s="3"/>
      <c r="C4" s="3"/>
      <c r="D4" s="3"/>
      <c r="E4" s="3"/>
      <c r="F4" s="3"/>
      <c r="G4" s="3"/>
      <c r="H4" s="3"/>
    </row>
    <row r="5" spans="1:8" s="1" customFormat="1" ht="24" customHeight="1">
      <c r="A5" s="364" t="s">
        <v>138</v>
      </c>
      <c r="B5" s="364"/>
      <c r="C5" s="364"/>
      <c r="D5" s="364"/>
      <c r="E5" s="364"/>
      <c r="F5" s="364"/>
      <c r="G5" s="364"/>
      <c r="H5" s="364"/>
    </row>
    <row r="6" spans="1:8" s="1" customFormat="1" ht="30" customHeight="1" thickBot="1">
      <c r="A6" s="364" t="s">
        <v>169</v>
      </c>
      <c r="B6" s="364"/>
      <c r="C6" s="364"/>
      <c r="D6" s="364"/>
      <c r="E6" s="364"/>
      <c r="F6" s="364"/>
      <c r="G6" s="364"/>
      <c r="H6" s="364"/>
    </row>
    <row r="7" spans="1:8" s="1" customFormat="1" ht="21.75" thickBot="1" thickTop="1">
      <c r="A7" s="3"/>
      <c r="B7" s="3"/>
      <c r="D7" s="5" t="s">
        <v>72</v>
      </c>
      <c r="E7" s="5" t="s">
        <v>82</v>
      </c>
      <c r="F7" s="3"/>
      <c r="G7" s="3"/>
      <c r="H7" s="3"/>
    </row>
    <row r="8" spans="1:8" s="1" customFormat="1" ht="15.75" customHeight="1" thickTop="1">
      <c r="A8" s="3"/>
      <c r="B8" s="3"/>
      <c r="D8" s="6" t="s">
        <v>139</v>
      </c>
      <c r="E8" s="7">
        <f>Govern!$W$15</f>
        <v>140632.038</v>
      </c>
      <c r="F8" s="3"/>
      <c r="G8" s="3"/>
      <c r="H8" s="3"/>
    </row>
    <row r="9" spans="1:8" s="1" customFormat="1" ht="15.75" customHeight="1">
      <c r="A9" s="3"/>
      <c r="B9" s="3"/>
      <c r="D9" s="8" t="s">
        <v>140</v>
      </c>
      <c r="E9" s="9">
        <f>Govern!$W$11</f>
        <v>132866.21600000001</v>
      </c>
      <c r="F9" s="3"/>
      <c r="G9" s="3"/>
      <c r="H9" s="3"/>
    </row>
    <row r="10" spans="1:8" s="1" customFormat="1" ht="15.75" customHeight="1">
      <c r="A10" s="3"/>
      <c r="B10" s="3"/>
      <c r="D10" s="8" t="s">
        <v>141</v>
      </c>
      <c r="E10" s="9">
        <f>Govern!$W$28</f>
        <v>444151.196</v>
      </c>
      <c r="F10" s="3"/>
      <c r="G10" s="3"/>
      <c r="H10" s="3"/>
    </row>
    <row r="11" spans="1:8" s="1" customFormat="1" ht="15.75" customHeight="1">
      <c r="A11" s="3"/>
      <c r="B11" s="3"/>
      <c r="D11" s="8" t="s">
        <v>142</v>
      </c>
      <c r="E11" s="9">
        <f>Govern!$W$19</f>
        <v>157066</v>
      </c>
      <c r="F11" s="3"/>
      <c r="G11" s="3"/>
      <c r="H11" s="3"/>
    </row>
    <row r="12" spans="1:8" s="1" customFormat="1" ht="15.75" customHeight="1">
      <c r="A12" s="3"/>
      <c r="B12" s="3"/>
      <c r="D12" s="8" t="s">
        <v>143</v>
      </c>
      <c r="E12" s="9">
        <f>Govern!$W$23</f>
        <v>47052</v>
      </c>
      <c r="F12" s="3"/>
      <c r="G12" s="3"/>
      <c r="H12" s="3"/>
    </row>
    <row r="13" spans="1:8" s="1" customFormat="1" ht="15.75" customHeight="1">
      <c r="A13" s="3"/>
      <c r="B13" s="3"/>
      <c r="D13" s="8" t="s">
        <v>144</v>
      </c>
      <c r="E13" s="9">
        <f>Govern!$W$35</f>
        <v>48197</v>
      </c>
      <c r="F13" s="3"/>
      <c r="G13" s="3"/>
      <c r="H13" s="3"/>
    </row>
    <row r="14" spans="1:8" s="1" customFormat="1" ht="15.75" customHeight="1" thickBot="1">
      <c r="A14" s="3"/>
      <c r="B14" s="3"/>
      <c r="D14" s="10" t="s">
        <v>145</v>
      </c>
      <c r="E14" s="13">
        <f>Govern!$W$39</f>
        <v>38044</v>
      </c>
      <c r="F14" s="3"/>
      <c r="G14" s="3"/>
      <c r="H14" s="3"/>
    </row>
    <row r="15" spans="1:8" s="1" customFormat="1" ht="15.75" customHeight="1" thickBot="1" thickTop="1">
      <c r="A15" s="3"/>
      <c r="B15" s="3"/>
      <c r="D15" s="11" t="s">
        <v>14</v>
      </c>
      <c r="E15" s="12">
        <f>SUM(E8:E14)</f>
        <v>1008008.45</v>
      </c>
      <c r="F15" s="3"/>
      <c r="G15" s="3"/>
      <c r="H15" s="3"/>
    </row>
    <row r="16" ht="13.5" thickTop="1"/>
  </sheetData>
  <sheetProtection/>
  <mergeCells count="5">
    <mergeCell ref="A5:H5"/>
    <mergeCell ref="A6:H6"/>
    <mergeCell ref="A1:C1"/>
    <mergeCell ref="A2:C2"/>
    <mergeCell ref="A3:D3"/>
  </mergeCells>
  <printOptions/>
  <pageMargins left="0.1968503937007874" right="0.1968503937007874" top="0.1968503937007874" bottom="0.5905511811023623" header="0.5118110236220472" footer="0.5118110236220472"/>
  <pageSetup horizontalDpi="300" verticalDpi="300" orientation="landscape" paperSize="9" r:id="rId2"/>
  <headerFooter alignWithMargins="0">
    <oddFooter>&amp;C[20]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9.7109375" style="4" customWidth="1"/>
    <col min="2" max="2" width="28.7109375" style="4" customWidth="1"/>
    <col min="3" max="3" width="18.7109375" style="4" customWidth="1"/>
    <col min="4" max="4" width="10.7109375" style="4" customWidth="1"/>
    <col min="5" max="5" width="9.140625" style="15" customWidth="1"/>
    <col min="6" max="6" width="15.28125" style="61" bestFit="1" customWidth="1"/>
    <col min="7" max="7" width="10.7109375" style="17" bestFit="1" customWidth="1"/>
    <col min="8" max="16384" width="9.140625" style="15" customWidth="1"/>
  </cols>
  <sheetData>
    <row r="1" ht="15" customHeight="1">
      <c r="A1" s="60" t="s">
        <v>0</v>
      </c>
    </row>
    <row r="2" ht="15" customHeight="1">
      <c r="A2" s="60" t="s">
        <v>1</v>
      </c>
    </row>
    <row r="3" spans="1:2" ht="15" customHeight="1">
      <c r="A3" s="363" t="s">
        <v>2</v>
      </c>
      <c r="B3" s="363"/>
    </row>
    <row r="4" ht="13.5" customHeight="1">
      <c r="A4" s="60"/>
    </row>
    <row r="5" spans="1:5" ht="27.75" customHeight="1">
      <c r="A5" s="347" t="s">
        <v>55</v>
      </c>
      <c r="B5" s="347"/>
      <c r="C5" s="347"/>
      <c r="D5" s="347"/>
      <c r="E5" s="62"/>
    </row>
    <row r="6" spans="1:5" ht="27.75" customHeight="1">
      <c r="A6" s="347" t="s">
        <v>168</v>
      </c>
      <c r="B6" s="347"/>
      <c r="C6" s="347"/>
      <c r="D6" s="347"/>
      <c r="E6" s="62"/>
    </row>
    <row r="7" spans="1:5" ht="13.5" customHeight="1" thickBot="1">
      <c r="A7" s="4" t="s">
        <v>16</v>
      </c>
      <c r="C7" s="63"/>
      <c r="D7" s="63"/>
      <c r="E7" s="64"/>
    </row>
    <row r="8" spans="1:5" ht="27.75" customHeight="1" thickBot="1" thickTop="1">
      <c r="A8" s="360" t="s">
        <v>56</v>
      </c>
      <c r="B8" s="362"/>
      <c r="C8" s="67" t="s">
        <v>180</v>
      </c>
      <c r="D8" s="67" t="s">
        <v>15</v>
      </c>
      <c r="E8" s="68"/>
    </row>
    <row r="9" spans="1:5" ht="27.75" customHeight="1" thickBot="1" thickTop="1">
      <c r="A9" s="67" t="s">
        <v>58</v>
      </c>
      <c r="B9" s="69" t="s">
        <v>150</v>
      </c>
      <c r="C9" s="69">
        <v>83762</v>
      </c>
      <c r="D9" s="70">
        <f aca="true" t="shared" si="0" ref="D9:D28">+C9/$C$29*100</f>
        <v>8.309656684751346</v>
      </c>
      <c r="E9" s="68"/>
    </row>
    <row r="10" spans="1:7" ht="27.75" customHeight="1" thickBot="1" thickTop="1">
      <c r="A10" s="71"/>
      <c r="B10" s="69" t="s">
        <v>12</v>
      </c>
      <c r="C10" s="69">
        <v>46986</v>
      </c>
      <c r="D10" s="70">
        <f t="shared" si="0"/>
        <v>4.661272760795191</v>
      </c>
      <c r="E10" s="72">
        <f>D9+D10</f>
        <v>12.970929445546536</v>
      </c>
      <c r="G10" s="73"/>
    </row>
    <row r="11" spans="1:7" ht="27.75" customHeight="1" thickBot="1" thickTop="1">
      <c r="A11" s="67" t="s">
        <v>6</v>
      </c>
      <c r="B11" s="69" t="s">
        <v>4</v>
      </c>
      <c r="C11" s="69">
        <v>36783</v>
      </c>
      <c r="D11" s="70">
        <f t="shared" si="0"/>
        <v>3.649078362923626</v>
      </c>
      <c r="E11" s="74"/>
      <c r="G11" s="75"/>
    </row>
    <row r="12" spans="1:7" ht="27.75" customHeight="1" thickBot="1" thickTop="1">
      <c r="A12" s="76"/>
      <c r="B12" s="66" t="s">
        <v>5</v>
      </c>
      <c r="C12" s="65">
        <v>58291</v>
      </c>
      <c r="D12" s="70">
        <f t="shared" si="0"/>
        <v>5.782791693259959</v>
      </c>
      <c r="E12" s="77"/>
      <c r="G12" s="75"/>
    </row>
    <row r="13" spans="1:7" ht="27.75" customHeight="1" thickBot="1" thickTop="1">
      <c r="A13" s="76"/>
      <c r="B13" s="66" t="s">
        <v>151</v>
      </c>
      <c r="C13" s="65">
        <v>6645</v>
      </c>
      <c r="D13" s="70">
        <f t="shared" si="0"/>
        <v>0.6592209912630154</v>
      </c>
      <c r="E13" s="77"/>
      <c r="G13" s="75"/>
    </row>
    <row r="14" spans="1:7" ht="27.75" customHeight="1" thickBot="1" thickTop="1">
      <c r="A14" s="76"/>
      <c r="B14" s="66" t="s">
        <v>152</v>
      </c>
      <c r="C14" s="65">
        <v>4413</v>
      </c>
      <c r="D14" s="70">
        <f t="shared" si="0"/>
        <v>0.4377941662067249</v>
      </c>
      <c r="E14" s="78">
        <f>D11+D12+D13+D14</f>
        <v>10.528885213653327</v>
      </c>
      <c r="F14" s="79"/>
      <c r="G14" s="75"/>
    </row>
    <row r="15" spans="1:7" ht="27.75" customHeight="1" thickBot="1" thickTop="1">
      <c r="A15" s="80" t="s">
        <v>73</v>
      </c>
      <c r="B15" s="66" t="s">
        <v>74</v>
      </c>
      <c r="C15" s="81">
        <v>4729</v>
      </c>
      <c r="D15" s="70">
        <f t="shared" si="0"/>
        <v>0.46914312530967645</v>
      </c>
      <c r="E15" s="77"/>
      <c r="G15" s="82"/>
    </row>
    <row r="16" spans="1:7" ht="27.75" customHeight="1" thickBot="1" thickTop="1">
      <c r="A16" s="71"/>
      <c r="B16" s="66" t="s">
        <v>7</v>
      </c>
      <c r="C16" s="65">
        <v>321</v>
      </c>
      <c r="D16" s="70">
        <f t="shared" si="0"/>
        <v>0.03184498693685898</v>
      </c>
      <c r="E16" s="78">
        <f>D15+D16</f>
        <v>0.5009881122465354</v>
      </c>
      <c r="G16" s="82"/>
    </row>
    <row r="17" spans="1:7" ht="27.75" customHeight="1" thickBot="1" thickTop="1">
      <c r="A17" s="67" t="s">
        <v>10</v>
      </c>
      <c r="B17" s="66" t="s">
        <v>153</v>
      </c>
      <c r="C17" s="65">
        <v>3072</v>
      </c>
      <c r="D17" s="70">
        <f t="shared" si="0"/>
        <v>0.30475950115274386</v>
      </c>
      <c r="G17" s="83"/>
    </row>
    <row r="18" spans="1:4" ht="27.75" customHeight="1" thickBot="1" thickTop="1">
      <c r="A18" s="76"/>
      <c r="B18" s="66" t="s">
        <v>21</v>
      </c>
      <c r="C18" s="65">
        <v>2126</v>
      </c>
      <c r="D18" s="70">
        <f t="shared" si="0"/>
        <v>0.2109110349774523</v>
      </c>
    </row>
    <row r="19" spans="1:4" ht="27.75" customHeight="1" thickBot="1" thickTop="1">
      <c r="A19" s="76"/>
      <c r="B19" s="66" t="s">
        <v>8</v>
      </c>
      <c r="C19" s="65">
        <v>19592</v>
      </c>
      <c r="D19" s="70">
        <f t="shared" si="0"/>
        <v>1.9436354643829943</v>
      </c>
    </row>
    <row r="20" spans="1:4" ht="27.75" customHeight="1" thickBot="1" thickTop="1">
      <c r="A20" s="76"/>
      <c r="B20" s="66" t="s">
        <v>146</v>
      </c>
      <c r="C20" s="65">
        <v>2791</v>
      </c>
      <c r="D20" s="70">
        <f>+C20/$C$29*100</f>
        <v>0.2768827368871446</v>
      </c>
    </row>
    <row r="21" spans="1:4" ht="27.75" customHeight="1" thickBot="1" thickTop="1">
      <c r="A21" s="76"/>
      <c r="B21" s="66" t="s">
        <v>57</v>
      </c>
      <c r="C21" s="65">
        <v>4788</v>
      </c>
      <c r="D21" s="70">
        <f>+C21/$C$29*100</f>
        <v>0.4749962537497845</v>
      </c>
    </row>
    <row r="22" spans="1:5" ht="27.75" customHeight="1" thickBot="1" thickTop="1">
      <c r="A22" s="76"/>
      <c r="B22" s="66" t="s">
        <v>166</v>
      </c>
      <c r="C22" s="65">
        <v>482</v>
      </c>
      <c r="D22" s="70">
        <f>C22/C29*100</f>
        <v>0.04781708318867922</v>
      </c>
      <c r="E22" s="84">
        <f>D17+D18+D19+D20+D21+D22</f>
        <v>3.259002074338799</v>
      </c>
    </row>
    <row r="23" spans="1:5" ht="27.75" customHeight="1" thickBot="1" thickTop="1">
      <c r="A23" s="67" t="s">
        <v>154</v>
      </c>
      <c r="B23" s="66" t="s">
        <v>154</v>
      </c>
      <c r="C23" s="65">
        <v>97710</v>
      </c>
      <c r="D23" s="70">
        <f t="shared" si="0"/>
        <v>9.693375930219599</v>
      </c>
      <c r="E23" s="85"/>
    </row>
    <row r="24" spans="1:7" ht="27.75" customHeight="1" thickBot="1" thickTop="1">
      <c r="A24" s="67" t="s">
        <v>155</v>
      </c>
      <c r="B24" s="66" t="s">
        <v>27</v>
      </c>
      <c r="C24" s="65">
        <v>8538.95</v>
      </c>
      <c r="D24" s="70">
        <f t="shared" si="0"/>
        <v>0.8471113744688225</v>
      </c>
      <c r="E24" s="85"/>
      <c r="G24" s="86"/>
    </row>
    <row r="25" spans="1:5" ht="27.75" customHeight="1" thickBot="1" thickTop="1">
      <c r="A25" s="87"/>
      <c r="B25" s="66" t="s">
        <v>64</v>
      </c>
      <c r="C25" s="88">
        <v>557822</v>
      </c>
      <c r="D25" s="70">
        <f t="shared" si="0"/>
        <v>55.33904767318552</v>
      </c>
      <c r="E25" s="85"/>
    </row>
    <row r="26" spans="1:5" ht="27.75" customHeight="1" thickBot="1" thickTop="1">
      <c r="A26" s="87"/>
      <c r="B26" s="66" t="s">
        <v>49</v>
      </c>
      <c r="C26" s="88">
        <v>62276</v>
      </c>
      <c r="D26" s="70">
        <f t="shared" si="0"/>
        <v>6.178125876884205</v>
      </c>
      <c r="E26" s="85"/>
    </row>
    <row r="27" spans="1:5" ht="27.75" customHeight="1" thickBot="1" thickTop="1">
      <c r="A27" s="87"/>
      <c r="B27" s="66" t="s">
        <v>13</v>
      </c>
      <c r="C27" s="89">
        <v>5300</v>
      </c>
      <c r="D27" s="70">
        <f t="shared" si="0"/>
        <v>0.5257895039419085</v>
      </c>
      <c r="E27" s="85"/>
    </row>
    <row r="28" spans="1:5" ht="27.75" customHeight="1" thickBot="1" thickTop="1">
      <c r="A28" s="87"/>
      <c r="B28" s="66" t="s">
        <v>147</v>
      </c>
      <c r="C28" s="90">
        <v>1580</v>
      </c>
      <c r="D28" s="70">
        <f t="shared" si="0"/>
        <v>0.15674479551475762</v>
      </c>
      <c r="E28" s="84">
        <f>D24+D25+D26+D27+D28</f>
        <v>63.04681922399521</v>
      </c>
    </row>
    <row r="29" spans="1:4" ht="25.5" customHeight="1" thickBot="1" thickTop="1">
      <c r="A29" s="360" t="s">
        <v>14</v>
      </c>
      <c r="B29" s="361"/>
      <c r="C29" s="91">
        <f>SUM(C9:C28)</f>
        <v>1008007.95</v>
      </c>
      <c r="D29" s="70">
        <f>SUM(D9:D28)</f>
        <v>100.00000000000001</v>
      </c>
    </row>
    <row r="30" ht="16.5" thickTop="1"/>
    <row r="31" spans="1:4" ht="15.75">
      <c r="A31" s="60" t="s">
        <v>181</v>
      </c>
      <c r="B31" s="92"/>
      <c r="C31" s="92"/>
      <c r="D31" s="92"/>
    </row>
  </sheetData>
  <sheetProtection/>
  <mergeCells count="5">
    <mergeCell ref="A29:B29"/>
    <mergeCell ref="A8:B8"/>
    <mergeCell ref="A5:D5"/>
    <mergeCell ref="A6:D6"/>
    <mergeCell ref="A3:B3"/>
  </mergeCells>
  <printOptions/>
  <pageMargins left="1.18110236220472" right="0.196850393700787" top="0" bottom="0.590551181102362" header="0.511811023622047" footer="1.18110236220472"/>
  <pageSetup horizontalDpi="300" verticalDpi="300" orientation="portrait" paperSize="9" r:id="rId1"/>
  <headerFooter alignWithMargins="0">
    <oddFooter>&amp;C[ 1 ]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5"/>
  <sheetViews>
    <sheetView zoomScalePageLayoutView="0" workbookViewId="0" topLeftCell="A7">
      <selection activeCell="A3" sqref="A3:C3"/>
    </sheetView>
  </sheetViews>
  <sheetFormatPr defaultColWidth="9.140625" defaultRowHeight="12.75"/>
  <cols>
    <col min="1" max="1" width="18.421875" style="1" customWidth="1"/>
    <col min="2" max="13" width="9.140625" style="1" customWidth="1"/>
    <col min="14" max="16384" width="9.140625" style="16" customWidth="1"/>
  </cols>
  <sheetData>
    <row r="1" spans="1:3" ht="15.75">
      <c r="A1" s="363" t="s">
        <v>0</v>
      </c>
      <c r="B1" s="363"/>
      <c r="C1" s="363"/>
    </row>
    <row r="2" spans="1:3" ht="15.75">
      <c r="A2" s="363" t="s">
        <v>1</v>
      </c>
      <c r="B2" s="363"/>
      <c r="C2" s="363"/>
    </row>
    <row r="3" spans="1:3" ht="15.75">
      <c r="A3" s="363" t="s">
        <v>2</v>
      </c>
      <c r="B3" s="363"/>
      <c r="C3" s="363"/>
    </row>
    <row r="4" ht="12.75">
      <c r="A4" s="2"/>
    </row>
    <row r="5" spans="1:13" s="32" customFormat="1" ht="30">
      <c r="A5" s="347" t="s">
        <v>177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ht="23.25">
      <c r="A6" s="347" t="s">
        <v>178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spans="1:13" s="27" customFormat="1" ht="12.7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27" customFormat="1" ht="12.75">
      <c r="A8" s="28" t="s">
        <v>58</v>
      </c>
      <c r="B8" s="29">
        <f>+C8/$C$14*100</f>
        <v>12.970953486015514</v>
      </c>
      <c r="C8" s="30">
        <f>Pr2007!$D$9+Pr2007!$D$10</f>
        <v>12.970929445546536</v>
      </c>
      <c r="D8" s="28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.75">
      <c r="A9" s="28" t="s">
        <v>6</v>
      </c>
      <c r="B9" s="29">
        <f>+C9/$C$14*100</f>
        <v>10.528904728009595</v>
      </c>
      <c r="C9" s="30">
        <f>Pr2007!$D$11+Pr2007!$D$12+Pr2007!$D$13+Pr2007!$D$14</f>
        <v>10.528885213653327</v>
      </c>
      <c r="D9" s="28"/>
      <c r="E9" s="26"/>
      <c r="F9" s="26"/>
      <c r="G9" s="26"/>
      <c r="H9" s="31"/>
      <c r="I9" s="26"/>
      <c r="J9" s="26"/>
      <c r="K9" s="26"/>
      <c r="L9" s="26"/>
      <c r="M9" s="26"/>
    </row>
    <row r="10" spans="1:13" s="27" customFormat="1" ht="12.75">
      <c r="A10" s="28" t="s">
        <v>9</v>
      </c>
      <c r="B10" s="29">
        <v>0.5</v>
      </c>
      <c r="C10" s="30">
        <v>0.44</v>
      </c>
      <c r="D10" s="28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2.75">
      <c r="A11" s="28" t="s">
        <v>10</v>
      </c>
      <c r="B11" s="29">
        <v>3.26</v>
      </c>
      <c r="C11" s="30">
        <v>3.98</v>
      </c>
      <c r="D11" s="28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27" customFormat="1" ht="12.75">
      <c r="A12" s="28" t="s">
        <v>157</v>
      </c>
      <c r="B12" s="29">
        <v>9.69</v>
      </c>
      <c r="C12" s="30">
        <v>10.81</v>
      </c>
      <c r="D12" s="28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7" customFormat="1" ht="12.75">
      <c r="A13" s="28" t="s">
        <v>24</v>
      </c>
      <c r="B13" s="29">
        <v>63.05</v>
      </c>
      <c r="C13" s="30">
        <v>61.27</v>
      </c>
      <c r="D13" s="28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1" customFormat="1" ht="12.75">
      <c r="A14" s="22"/>
      <c r="B14" s="24">
        <f>SUM(B8:B13)</f>
        <v>99.9998582140251</v>
      </c>
      <c r="C14" s="23">
        <f>SUM(C8:C13)</f>
        <v>99.99981465919987</v>
      </c>
      <c r="D14" s="22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21" customFormat="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sheetProtection/>
  <mergeCells count="5">
    <mergeCell ref="A5:M5"/>
    <mergeCell ref="A6:M6"/>
    <mergeCell ref="A1:C1"/>
    <mergeCell ref="A2:C2"/>
    <mergeCell ref="A3:C3"/>
  </mergeCells>
  <printOptions/>
  <pageMargins left="0.1968503937007874" right="0.1968503937007874" top="0.1968503937007874" bottom="0.5905511811023623" header="0.5118110236220472" footer="0.1968503937007874"/>
  <pageSetup horizontalDpi="300" verticalDpi="300" orientation="landscape" paperSize="9" r:id="rId2"/>
  <headerFooter alignWithMargins="0">
    <oddFooter>&amp;C[ 2 ]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32.7109375" style="103" customWidth="1"/>
    <col min="2" max="2" width="24.7109375" style="103" customWidth="1"/>
    <col min="3" max="3" width="25.7109375" style="103" customWidth="1"/>
    <col min="4" max="4" width="24.7109375" style="103" customWidth="1"/>
    <col min="5" max="5" width="9.140625" style="103" customWidth="1"/>
    <col min="6" max="16384" width="9.140625" style="15" customWidth="1"/>
  </cols>
  <sheetData>
    <row r="1" spans="1:5" ht="15.75">
      <c r="A1" s="93" t="s">
        <v>0</v>
      </c>
      <c r="B1" s="36"/>
      <c r="C1" s="36"/>
      <c r="D1" s="36"/>
      <c r="E1" s="36"/>
    </row>
    <row r="2" spans="1:5" ht="15.75">
      <c r="A2" s="93" t="s">
        <v>1</v>
      </c>
      <c r="B2" s="36"/>
      <c r="C2" s="94"/>
      <c r="D2" s="94"/>
      <c r="E2" s="36"/>
    </row>
    <row r="3" spans="1:5" ht="15.75">
      <c r="A3" s="93" t="s">
        <v>2</v>
      </c>
      <c r="B3" s="36"/>
      <c r="C3" s="95"/>
      <c r="D3" s="95"/>
      <c r="E3" s="36"/>
    </row>
    <row r="4" spans="1:5" ht="15.75">
      <c r="A4" s="36"/>
      <c r="B4" s="36"/>
      <c r="C4" s="36"/>
      <c r="D4" s="36"/>
      <c r="E4" s="36"/>
    </row>
    <row r="5" spans="1:10" ht="23.25">
      <c r="A5" s="364" t="s">
        <v>75</v>
      </c>
      <c r="B5" s="364"/>
      <c r="C5" s="364"/>
      <c r="D5" s="364"/>
      <c r="E5" s="364"/>
      <c r="F5" s="96"/>
      <c r="G5" s="96"/>
      <c r="H5" s="96"/>
      <c r="I5" s="96"/>
      <c r="J5" s="96"/>
    </row>
    <row r="6" spans="1:10" ht="23.25">
      <c r="A6" s="364" t="s">
        <v>168</v>
      </c>
      <c r="B6" s="364"/>
      <c r="C6" s="364"/>
      <c r="D6" s="364"/>
      <c r="E6" s="364"/>
      <c r="F6" s="96"/>
      <c r="G6" s="96"/>
      <c r="H6" s="96"/>
      <c r="I6" s="96"/>
      <c r="J6" s="96"/>
    </row>
    <row r="7" spans="1:5" ht="16.5" thickBot="1">
      <c r="A7" s="36"/>
      <c r="B7" s="36"/>
      <c r="C7" s="36"/>
      <c r="D7" s="36"/>
      <c r="E7" s="36"/>
    </row>
    <row r="8" spans="1:5" ht="30" customHeight="1" thickBot="1" thickTop="1">
      <c r="A8" s="97"/>
      <c r="B8" s="98" t="s">
        <v>24</v>
      </c>
      <c r="C8" s="98" t="s">
        <v>133</v>
      </c>
      <c r="D8" s="98" t="s">
        <v>83</v>
      </c>
      <c r="E8" s="36"/>
    </row>
    <row r="9" spans="1:5" ht="30" customHeight="1" thickBot="1" thickTop="1">
      <c r="A9" s="97"/>
      <c r="B9" s="99">
        <v>635516.951</v>
      </c>
      <c r="C9" s="99">
        <v>372491</v>
      </c>
      <c r="D9" s="99">
        <f>SUM(B9:C9)</f>
        <v>1008007.951</v>
      </c>
      <c r="E9" s="36"/>
    </row>
    <row r="10" spans="1:5" ht="30" customHeight="1" thickBot="1" thickTop="1">
      <c r="A10" s="100"/>
      <c r="B10" s="101">
        <f>+B9/D9</f>
        <v>0.6304681926065482</v>
      </c>
      <c r="C10" s="101">
        <f>+C9/D9</f>
        <v>0.3695318073934518</v>
      </c>
      <c r="D10" s="102">
        <f>+B10+C10</f>
        <v>1</v>
      </c>
      <c r="E10" s="36"/>
    </row>
    <row r="11" ht="15.75" thickTop="1"/>
  </sheetData>
  <sheetProtection/>
  <mergeCells count="2">
    <mergeCell ref="A5:E5"/>
    <mergeCell ref="A6:E6"/>
  </mergeCells>
  <printOptions/>
  <pageMargins left="1.32" right="0.48" top="0" bottom="0.3937007874015748" header="0.5118110236220472" footer="0.5118110236220472"/>
  <pageSetup horizontalDpi="300" verticalDpi="300" orientation="landscape" paperSize="9" r:id="rId2"/>
  <headerFooter alignWithMargins="0">
    <oddFooter>&amp;C[ 3 ]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33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8.7109375" style="345" customWidth="1"/>
    <col min="2" max="9" width="6.7109375" style="345" customWidth="1"/>
    <col min="10" max="10" width="7.57421875" style="345" customWidth="1"/>
    <col min="11" max="17" width="7.7109375" style="345" customWidth="1"/>
    <col min="18" max="16384" width="9.140625" style="345" customWidth="1"/>
  </cols>
  <sheetData>
    <row r="1" spans="1:4" s="338" customFormat="1" ht="15.75">
      <c r="A1" s="366" t="s">
        <v>0</v>
      </c>
      <c r="B1" s="366"/>
      <c r="C1" s="366"/>
      <c r="D1" s="366"/>
    </row>
    <row r="2" spans="1:4" s="338" customFormat="1" ht="15.75">
      <c r="A2" s="366" t="s">
        <v>1</v>
      </c>
      <c r="B2" s="366"/>
      <c r="C2" s="366"/>
      <c r="D2" s="366"/>
    </row>
    <row r="3" spans="1:4" s="338" customFormat="1" ht="15.75">
      <c r="A3" s="366" t="s">
        <v>2</v>
      </c>
      <c r="B3" s="366"/>
      <c r="C3" s="366"/>
      <c r="D3" s="366"/>
    </row>
    <row r="4" s="338" customFormat="1" ht="12.75">
      <c r="A4" s="339"/>
    </row>
    <row r="5" spans="1:17" s="338" customFormat="1" ht="24.75" customHeight="1" thickBot="1">
      <c r="A5" s="365" t="s">
        <v>172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</row>
    <row r="6" spans="1:17" s="338" customFormat="1" ht="21.75" thickBot="1" thickTop="1">
      <c r="A6" s="340" t="s">
        <v>17</v>
      </c>
      <c r="B6" s="341">
        <v>92</v>
      </c>
      <c r="C6" s="341">
        <v>93</v>
      </c>
      <c r="D6" s="341">
        <v>94</v>
      </c>
      <c r="E6" s="341">
        <v>95</v>
      </c>
      <c r="F6" s="341">
        <v>96</v>
      </c>
      <c r="G6" s="341">
        <v>97</v>
      </c>
      <c r="H6" s="341">
        <v>98</v>
      </c>
      <c r="I6" s="341">
        <v>99</v>
      </c>
      <c r="J6" s="341">
        <v>2000</v>
      </c>
      <c r="K6" s="341">
        <v>2001</v>
      </c>
      <c r="L6" s="341">
        <v>2002</v>
      </c>
      <c r="M6" s="341">
        <v>2003</v>
      </c>
      <c r="N6" s="341">
        <v>2004</v>
      </c>
      <c r="O6" s="342">
        <v>2005</v>
      </c>
      <c r="P6" s="342">
        <v>2006</v>
      </c>
      <c r="Q6" s="342">
        <v>2007</v>
      </c>
    </row>
    <row r="7" spans="1:17" s="338" customFormat="1" ht="21.75" thickBot="1" thickTop="1">
      <c r="A7" s="340" t="s">
        <v>11</v>
      </c>
      <c r="B7" s="343">
        <v>346</v>
      </c>
      <c r="C7" s="343">
        <v>357</v>
      </c>
      <c r="D7" s="343">
        <v>368</v>
      </c>
      <c r="E7" s="343">
        <v>407</v>
      </c>
      <c r="F7" s="343">
        <v>432</v>
      </c>
      <c r="G7" s="343">
        <v>457</v>
      </c>
      <c r="H7" s="343">
        <v>546</v>
      </c>
      <c r="I7" s="343">
        <v>649</v>
      </c>
      <c r="J7" s="343">
        <v>724</v>
      </c>
      <c r="K7" s="343">
        <v>772</v>
      </c>
      <c r="L7" s="344">
        <v>801</v>
      </c>
      <c r="M7" s="343">
        <v>876</v>
      </c>
      <c r="N7" s="343">
        <v>865</v>
      </c>
      <c r="O7" s="342">
        <v>889.2879999999999</v>
      </c>
      <c r="P7" s="342">
        <v>970.9209999999999</v>
      </c>
      <c r="Q7" s="342">
        <v>1008</v>
      </c>
    </row>
    <row r="8" ht="13.5" thickTop="1"/>
    <row r="33" spans="1:10" s="346" customFormat="1" ht="15" customHeight="1">
      <c r="A33" s="367" t="s">
        <v>182</v>
      </c>
      <c r="B33" s="367"/>
      <c r="C33" s="367"/>
      <c r="D33" s="367"/>
      <c r="E33" s="367"/>
      <c r="F33" s="367"/>
      <c r="G33" s="367"/>
      <c r="H33" s="367"/>
      <c r="I33" s="367"/>
      <c r="J33" s="367"/>
    </row>
  </sheetData>
  <sheetProtection/>
  <mergeCells count="5">
    <mergeCell ref="A5:Q5"/>
    <mergeCell ref="A1:D1"/>
    <mergeCell ref="A2:D2"/>
    <mergeCell ref="A3:D3"/>
    <mergeCell ref="A33:J33"/>
  </mergeCells>
  <printOptions/>
  <pageMargins left="0.59" right="0.48" top="0.6" bottom="0.37" header="0.5118110236220472" footer="0.14"/>
  <pageSetup horizontalDpi="300" verticalDpi="300" orientation="landscape" paperSize="9" scale="110" r:id="rId2"/>
  <headerFooter alignWithMargins="0">
    <oddFooter>&amp;C[ 6 ]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41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9.57421875" style="141" customWidth="1"/>
    <col min="2" max="2" width="13.57421875" style="141" customWidth="1"/>
    <col min="3" max="3" width="9.8515625" style="261" customWidth="1"/>
    <col min="4" max="4" width="8.00390625" style="141" customWidth="1"/>
    <col min="5" max="5" width="9.8515625" style="141" customWidth="1"/>
    <col min="6" max="6" width="7.8515625" style="141" customWidth="1"/>
    <col min="7" max="7" width="6.57421875" style="141" customWidth="1"/>
    <col min="8" max="8" width="9.28125" style="141" customWidth="1"/>
    <col min="9" max="9" width="10.7109375" style="141" customWidth="1"/>
    <col min="10" max="10" width="8.57421875" style="141" customWidth="1"/>
    <col min="11" max="12" width="6.421875" style="141" customWidth="1"/>
    <col min="13" max="13" width="6.7109375" style="141" customWidth="1"/>
    <col min="14" max="14" width="7.421875" style="141" customWidth="1"/>
    <col min="15" max="15" width="10.421875" style="141" customWidth="1"/>
    <col min="16" max="16" width="7.140625" style="141" customWidth="1"/>
    <col min="17" max="17" width="7.28125" style="141" customWidth="1"/>
    <col min="18" max="18" width="8.7109375" style="141" customWidth="1"/>
    <col min="19" max="19" width="7.7109375" style="141" customWidth="1"/>
    <col min="20" max="20" width="7.28125" style="141" customWidth="1"/>
    <col min="21" max="21" width="6.28125" style="141" customWidth="1"/>
    <col min="22" max="22" width="10.140625" style="141" customWidth="1"/>
    <col min="23" max="23" width="10.57421875" style="141" customWidth="1"/>
    <col min="24" max="16384" width="9.140625" style="142" customWidth="1"/>
  </cols>
  <sheetData>
    <row r="1" spans="1:4" ht="12" customHeight="1">
      <c r="A1" s="377" t="s">
        <v>0</v>
      </c>
      <c r="B1" s="377"/>
      <c r="C1" s="377"/>
      <c r="D1" s="140"/>
    </row>
    <row r="2" spans="1:4" ht="12" customHeight="1">
      <c r="A2" s="377" t="s">
        <v>1</v>
      </c>
      <c r="B2" s="377"/>
      <c r="C2" s="377"/>
      <c r="D2" s="140"/>
    </row>
    <row r="3" spans="1:4" ht="12" customHeight="1">
      <c r="A3" s="377" t="s">
        <v>2</v>
      </c>
      <c r="B3" s="377"/>
      <c r="C3" s="377"/>
      <c r="D3" s="377"/>
    </row>
    <row r="4" spans="1:24" ht="24" customHeight="1">
      <c r="A4" s="371" t="s">
        <v>164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257"/>
    </row>
    <row r="5" spans="1:24" ht="18" customHeight="1" thickBot="1">
      <c r="A5" s="371" t="s">
        <v>168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258"/>
    </row>
    <row r="6" spans="1:23" ht="17.25" customHeight="1" thickBot="1" thickTop="1">
      <c r="A6" s="378" t="s">
        <v>76</v>
      </c>
      <c r="B6" s="379"/>
      <c r="C6" s="375" t="s">
        <v>58</v>
      </c>
      <c r="D6" s="375"/>
      <c r="E6" s="372" t="s">
        <v>6</v>
      </c>
      <c r="F6" s="373"/>
      <c r="G6" s="373"/>
      <c r="H6" s="374"/>
      <c r="I6" s="378" t="s">
        <v>73</v>
      </c>
      <c r="J6" s="385"/>
      <c r="K6" s="382" t="s">
        <v>10</v>
      </c>
      <c r="L6" s="383"/>
      <c r="M6" s="383"/>
      <c r="N6" s="383"/>
      <c r="O6" s="383"/>
      <c r="P6" s="384"/>
      <c r="Q6" s="389" t="s">
        <v>157</v>
      </c>
      <c r="R6" s="386" t="s">
        <v>24</v>
      </c>
      <c r="S6" s="387"/>
      <c r="T6" s="387"/>
      <c r="U6" s="387"/>
      <c r="V6" s="388"/>
      <c r="W6" s="263" t="s">
        <v>14</v>
      </c>
    </row>
    <row r="7" spans="1:23" ht="17.25" customHeight="1" thickBot="1" thickTop="1">
      <c r="A7" s="380" t="s">
        <v>51</v>
      </c>
      <c r="B7" s="381"/>
      <c r="C7" s="275" t="s">
        <v>158</v>
      </c>
      <c r="D7" s="276" t="s">
        <v>3</v>
      </c>
      <c r="E7" s="281" t="s">
        <v>4</v>
      </c>
      <c r="F7" s="282" t="s">
        <v>5</v>
      </c>
      <c r="G7" s="282" t="s">
        <v>151</v>
      </c>
      <c r="H7" s="283" t="s">
        <v>152</v>
      </c>
      <c r="I7" s="290" t="s">
        <v>74</v>
      </c>
      <c r="J7" s="291" t="s">
        <v>22</v>
      </c>
      <c r="K7" s="292" t="s">
        <v>153</v>
      </c>
      <c r="L7" s="282" t="s">
        <v>21</v>
      </c>
      <c r="M7" s="282" t="s">
        <v>8</v>
      </c>
      <c r="N7" s="282" t="s">
        <v>146</v>
      </c>
      <c r="O7" s="282" t="s">
        <v>166</v>
      </c>
      <c r="P7" s="283" t="s">
        <v>59</v>
      </c>
      <c r="Q7" s="390"/>
      <c r="R7" s="273" t="s">
        <v>47</v>
      </c>
      <c r="S7" s="274" t="s">
        <v>48</v>
      </c>
      <c r="T7" s="274" t="s">
        <v>49</v>
      </c>
      <c r="U7" s="274" t="s">
        <v>65</v>
      </c>
      <c r="V7" s="293" t="s">
        <v>149</v>
      </c>
      <c r="W7" s="296" t="s">
        <v>77</v>
      </c>
    </row>
    <row r="8" spans="1:23" ht="15.75" customHeight="1" thickTop="1">
      <c r="A8" s="335" t="s">
        <v>60</v>
      </c>
      <c r="B8" s="158" t="s">
        <v>32</v>
      </c>
      <c r="C8" s="265">
        <v>307</v>
      </c>
      <c r="D8" s="297" t="s">
        <v>84</v>
      </c>
      <c r="E8" s="298" t="s">
        <v>84</v>
      </c>
      <c r="F8" s="299" t="s">
        <v>84</v>
      </c>
      <c r="G8" s="299" t="s">
        <v>84</v>
      </c>
      <c r="H8" s="300" t="s">
        <v>84</v>
      </c>
      <c r="I8" s="298" t="s">
        <v>84</v>
      </c>
      <c r="J8" s="300" t="s">
        <v>84</v>
      </c>
      <c r="K8" s="298" t="s">
        <v>84</v>
      </c>
      <c r="L8" s="299" t="s">
        <v>84</v>
      </c>
      <c r="M8" s="299" t="s">
        <v>84</v>
      </c>
      <c r="N8" s="299" t="s">
        <v>84</v>
      </c>
      <c r="O8" s="299" t="s">
        <v>84</v>
      </c>
      <c r="P8" s="300" t="s">
        <v>84</v>
      </c>
      <c r="Q8" s="265" t="s">
        <v>84</v>
      </c>
      <c r="R8" s="298" t="s">
        <v>84</v>
      </c>
      <c r="S8" s="299">
        <v>1</v>
      </c>
      <c r="T8" s="299" t="s">
        <v>84</v>
      </c>
      <c r="U8" s="299" t="s">
        <v>84</v>
      </c>
      <c r="V8" s="301" t="s">
        <v>84</v>
      </c>
      <c r="W8" s="302">
        <f>SUM(C8:V8)</f>
        <v>308</v>
      </c>
    </row>
    <row r="9" spans="1:23" ht="12" customHeight="1">
      <c r="A9" s="336" t="s">
        <v>69</v>
      </c>
      <c r="B9" s="159" t="s">
        <v>33</v>
      </c>
      <c r="C9" s="266">
        <v>17073</v>
      </c>
      <c r="D9" s="277" t="s">
        <v>84</v>
      </c>
      <c r="E9" s="303" t="s">
        <v>84</v>
      </c>
      <c r="F9" s="304" t="s">
        <v>84</v>
      </c>
      <c r="G9" s="304" t="s">
        <v>84</v>
      </c>
      <c r="H9" s="305">
        <v>4413</v>
      </c>
      <c r="I9" s="303" t="s">
        <v>84</v>
      </c>
      <c r="J9" s="305" t="s">
        <v>84</v>
      </c>
      <c r="K9" s="303" t="s">
        <v>84</v>
      </c>
      <c r="L9" s="304" t="s">
        <v>84</v>
      </c>
      <c r="M9" s="304" t="s">
        <v>84</v>
      </c>
      <c r="N9" s="304" t="s">
        <v>84</v>
      </c>
      <c r="O9" s="304" t="s">
        <v>84</v>
      </c>
      <c r="P9" s="305" t="s">
        <v>84</v>
      </c>
      <c r="Q9" s="266" t="s">
        <v>84</v>
      </c>
      <c r="R9" s="303">
        <v>452.386</v>
      </c>
      <c r="S9" s="304">
        <f>33+973</f>
        <v>1006</v>
      </c>
      <c r="T9" s="304" t="s">
        <v>84</v>
      </c>
      <c r="U9" s="304" t="s">
        <v>84</v>
      </c>
      <c r="V9" s="306" t="s">
        <v>84</v>
      </c>
      <c r="W9" s="267">
        <f>SUM(C9:V9)</f>
        <v>22944.386</v>
      </c>
    </row>
    <row r="10" spans="1:24" ht="18" customHeight="1" thickBot="1">
      <c r="A10" s="337" t="s">
        <v>71</v>
      </c>
      <c r="B10" s="160" t="s">
        <v>34</v>
      </c>
      <c r="C10" s="268">
        <v>9388</v>
      </c>
      <c r="D10" s="307" t="s">
        <v>84</v>
      </c>
      <c r="E10" s="308" t="s">
        <v>84</v>
      </c>
      <c r="F10" s="309" t="s">
        <v>84</v>
      </c>
      <c r="G10" s="309">
        <v>6645</v>
      </c>
      <c r="H10" s="310" t="s">
        <v>84</v>
      </c>
      <c r="I10" s="308" t="s">
        <v>84</v>
      </c>
      <c r="J10" s="310" t="s">
        <v>84</v>
      </c>
      <c r="K10" s="308" t="s">
        <v>84</v>
      </c>
      <c r="L10" s="309" t="s">
        <v>84</v>
      </c>
      <c r="M10" s="309" t="s">
        <v>84</v>
      </c>
      <c r="N10" s="309" t="s">
        <v>84</v>
      </c>
      <c r="O10" s="309" t="s">
        <v>84</v>
      </c>
      <c r="P10" s="310" t="s">
        <v>84</v>
      </c>
      <c r="Q10" s="268">
        <v>745</v>
      </c>
      <c r="R10" s="308">
        <v>1670.83</v>
      </c>
      <c r="S10" s="309">
        <f>42636+23866</f>
        <v>66502</v>
      </c>
      <c r="T10" s="309">
        <v>22878</v>
      </c>
      <c r="U10" s="309">
        <v>875</v>
      </c>
      <c r="V10" s="311">
        <v>910</v>
      </c>
      <c r="W10" s="312">
        <f>SUM(C10:V10)</f>
        <v>109613.83</v>
      </c>
      <c r="X10" s="259"/>
    </row>
    <row r="11" spans="1:23" ht="17.25" customHeight="1" thickBot="1" thickTop="1">
      <c r="A11" s="376" t="s">
        <v>14</v>
      </c>
      <c r="B11" s="376"/>
      <c r="C11" s="272">
        <f aca="true" t="shared" si="0" ref="C11:W11">SUM(C8:C10)</f>
        <v>26768</v>
      </c>
      <c r="D11" s="278">
        <f t="shared" si="0"/>
        <v>0</v>
      </c>
      <c r="E11" s="284">
        <f t="shared" si="0"/>
        <v>0</v>
      </c>
      <c r="F11" s="285">
        <f t="shared" si="0"/>
        <v>0</v>
      </c>
      <c r="G11" s="285">
        <f t="shared" si="0"/>
        <v>6645</v>
      </c>
      <c r="H11" s="286">
        <f t="shared" si="0"/>
        <v>4413</v>
      </c>
      <c r="I11" s="284">
        <f t="shared" si="0"/>
        <v>0</v>
      </c>
      <c r="J11" s="286">
        <f t="shared" si="0"/>
        <v>0</v>
      </c>
      <c r="K11" s="284">
        <f t="shared" si="0"/>
        <v>0</v>
      </c>
      <c r="L11" s="285">
        <f t="shared" si="0"/>
        <v>0</v>
      </c>
      <c r="M11" s="285">
        <f t="shared" si="0"/>
        <v>0</v>
      </c>
      <c r="N11" s="285">
        <f t="shared" si="0"/>
        <v>0</v>
      </c>
      <c r="O11" s="285">
        <f t="shared" si="0"/>
        <v>0</v>
      </c>
      <c r="P11" s="286">
        <f t="shared" si="0"/>
        <v>0</v>
      </c>
      <c r="Q11" s="272">
        <f t="shared" si="0"/>
        <v>745</v>
      </c>
      <c r="R11" s="284">
        <f t="shared" si="0"/>
        <v>2123.216</v>
      </c>
      <c r="S11" s="285">
        <f t="shared" si="0"/>
        <v>67509</v>
      </c>
      <c r="T11" s="285">
        <f t="shared" si="0"/>
        <v>22878</v>
      </c>
      <c r="U11" s="285">
        <f t="shared" si="0"/>
        <v>875</v>
      </c>
      <c r="V11" s="294">
        <f t="shared" si="0"/>
        <v>910</v>
      </c>
      <c r="W11" s="272">
        <f t="shared" si="0"/>
        <v>132866.21600000001</v>
      </c>
    </row>
    <row r="12" spans="1:24" ht="15.75" customHeight="1" thickTop="1">
      <c r="A12" s="331" t="s">
        <v>29</v>
      </c>
      <c r="B12" s="158" t="s">
        <v>29</v>
      </c>
      <c r="C12" s="265">
        <v>21269</v>
      </c>
      <c r="D12" s="297" t="s">
        <v>84</v>
      </c>
      <c r="E12" s="298">
        <v>3000</v>
      </c>
      <c r="F12" s="299" t="s">
        <v>84</v>
      </c>
      <c r="G12" s="299" t="s">
        <v>84</v>
      </c>
      <c r="H12" s="300" t="s">
        <v>84</v>
      </c>
      <c r="I12" s="298" t="s">
        <v>84</v>
      </c>
      <c r="J12" s="300" t="s">
        <v>84</v>
      </c>
      <c r="K12" s="298" t="s">
        <v>84</v>
      </c>
      <c r="L12" s="299" t="s">
        <v>84</v>
      </c>
      <c r="M12" s="299" t="s">
        <v>84</v>
      </c>
      <c r="N12" s="299" t="s">
        <v>84</v>
      </c>
      <c r="O12" s="299" t="s">
        <v>84</v>
      </c>
      <c r="P12" s="300" t="s">
        <v>84</v>
      </c>
      <c r="Q12" s="265">
        <v>1432</v>
      </c>
      <c r="R12" s="298">
        <v>76.288</v>
      </c>
      <c r="S12" s="299">
        <f>3892+5775</f>
        <v>9667</v>
      </c>
      <c r="T12" s="299" t="s">
        <v>84</v>
      </c>
      <c r="U12" s="299">
        <v>269</v>
      </c>
      <c r="V12" s="301" t="s">
        <v>84</v>
      </c>
      <c r="W12" s="302">
        <f>SUM(C12:V12)</f>
        <v>35713.288</v>
      </c>
      <c r="X12" s="226"/>
    </row>
    <row r="13" spans="1:23" ht="12" customHeight="1">
      <c r="A13" s="333"/>
      <c r="B13" s="159" t="s">
        <v>30</v>
      </c>
      <c r="C13" s="266" t="s">
        <v>84</v>
      </c>
      <c r="D13" s="277" t="s">
        <v>84</v>
      </c>
      <c r="E13" s="303">
        <v>25000</v>
      </c>
      <c r="F13" s="304" t="s">
        <v>84</v>
      </c>
      <c r="G13" s="304" t="s">
        <v>84</v>
      </c>
      <c r="H13" s="305" t="s">
        <v>84</v>
      </c>
      <c r="I13" s="303" t="s">
        <v>84</v>
      </c>
      <c r="J13" s="305" t="s">
        <v>84</v>
      </c>
      <c r="K13" s="303" t="s">
        <v>84</v>
      </c>
      <c r="L13" s="304" t="s">
        <v>84</v>
      </c>
      <c r="M13" s="304" t="s">
        <v>84</v>
      </c>
      <c r="N13" s="304" t="s">
        <v>84</v>
      </c>
      <c r="O13" s="304" t="s">
        <v>84</v>
      </c>
      <c r="P13" s="305" t="s">
        <v>84</v>
      </c>
      <c r="Q13" s="266">
        <v>4144</v>
      </c>
      <c r="R13" s="303">
        <v>1329.75</v>
      </c>
      <c r="S13" s="304">
        <f>432+442</f>
        <v>874</v>
      </c>
      <c r="T13" s="304" t="s">
        <v>84</v>
      </c>
      <c r="U13" s="304">
        <v>1324</v>
      </c>
      <c r="V13" s="306" t="s">
        <v>84</v>
      </c>
      <c r="W13" s="267">
        <f>SUM(C13:V13)</f>
        <v>32671.75</v>
      </c>
    </row>
    <row r="14" spans="1:23" ht="12" customHeight="1" thickBot="1">
      <c r="A14" s="334"/>
      <c r="B14" s="160" t="s">
        <v>63</v>
      </c>
      <c r="C14" s="268" t="s">
        <v>84</v>
      </c>
      <c r="D14" s="307" t="s">
        <v>84</v>
      </c>
      <c r="E14" s="308" t="s">
        <v>84</v>
      </c>
      <c r="F14" s="309" t="s">
        <v>84</v>
      </c>
      <c r="G14" s="309" t="s">
        <v>84</v>
      </c>
      <c r="H14" s="310" t="s">
        <v>84</v>
      </c>
      <c r="I14" s="308" t="s">
        <v>84</v>
      </c>
      <c r="J14" s="310" t="s">
        <v>84</v>
      </c>
      <c r="K14" s="308" t="s">
        <v>84</v>
      </c>
      <c r="L14" s="309" t="s">
        <v>84</v>
      </c>
      <c r="M14" s="309" t="s">
        <v>84</v>
      </c>
      <c r="N14" s="309" t="s">
        <v>84</v>
      </c>
      <c r="O14" s="309" t="s">
        <v>84</v>
      </c>
      <c r="P14" s="310" t="s">
        <v>84</v>
      </c>
      <c r="Q14" s="268">
        <v>4378</v>
      </c>
      <c r="R14" s="308">
        <v>1166</v>
      </c>
      <c r="S14" s="309">
        <f>3150+12540+50000</f>
        <v>65690</v>
      </c>
      <c r="T14" s="309" t="s">
        <v>84</v>
      </c>
      <c r="U14" s="309">
        <v>1013</v>
      </c>
      <c r="V14" s="311" t="s">
        <v>84</v>
      </c>
      <c r="W14" s="312">
        <f>SUM(C14:V14)</f>
        <v>72247</v>
      </c>
    </row>
    <row r="15" spans="1:23" ht="16.5" customHeight="1" thickBot="1" thickTop="1">
      <c r="A15" s="376" t="s">
        <v>14</v>
      </c>
      <c r="B15" s="376"/>
      <c r="C15" s="272">
        <f>SUM(C12:C14)</f>
        <v>21269</v>
      </c>
      <c r="D15" s="278">
        <f aca="true" t="shared" si="1" ref="D15:P15">SUM(D12:D14)</f>
        <v>0</v>
      </c>
      <c r="E15" s="284">
        <f t="shared" si="1"/>
        <v>28000</v>
      </c>
      <c r="F15" s="285">
        <f t="shared" si="1"/>
        <v>0</v>
      </c>
      <c r="G15" s="285">
        <f t="shared" si="1"/>
        <v>0</v>
      </c>
      <c r="H15" s="286">
        <f t="shared" si="1"/>
        <v>0</v>
      </c>
      <c r="I15" s="284">
        <f t="shared" si="1"/>
        <v>0</v>
      </c>
      <c r="J15" s="286">
        <f t="shared" si="1"/>
        <v>0</v>
      </c>
      <c r="K15" s="284">
        <f t="shared" si="1"/>
        <v>0</v>
      </c>
      <c r="L15" s="285">
        <f t="shared" si="1"/>
        <v>0</v>
      </c>
      <c r="M15" s="285">
        <f t="shared" si="1"/>
        <v>0</v>
      </c>
      <c r="N15" s="285">
        <f t="shared" si="1"/>
        <v>0</v>
      </c>
      <c r="O15" s="285">
        <f t="shared" si="1"/>
        <v>0</v>
      </c>
      <c r="P15" s="286">
        <f t="shared" si="1"/>
        <v>0</v>
      </c>
      <c r="Q15" s="272">
        <f aca="true" t="shared" si="2" ref="Q15:W15">SUM(Q12:Q14)</f>
        <v>9954</v>
      </c>
      <c r="R15" s="284">
        <f t="shared" si="2"/>
        <v>2572.038</v>
      </c>
      <c r="S15" s="285">
        <f t="shared" si="2"/>
        <v>76231</v>
      </c>
      <c r="T15" s="285">
        <f t="shared" si="2"/>
        <v>0</v>
      </c>
      <c r="U15" s="285">
        <f t="shared" si="2"/>
        <v>2606</v>
      </c>
      <c r="V15" s="294">
        <f t="shared" si="2"/>
        <v>0</v>
      </c>
      <c r="W15" s="272">
        <f t="shared" si="2"/>
        <v>140632.038</v>
      </c>
    </row>
    <row r="16" spans="1:23" ht="13.5" customHeight="1" thickTop="1">
      <c r="A16" s="335" t="s">
        <v>130</v>
      </c>
      <c r="B16" s="264" t="s">
        <v>35</v>
      </c>
      <c r="C16" s="265">
        <v>18126</v>
      </c>
      <c r="D16" s="297" t="s">
        <v>84</v>
      </c>
      <c r="E16" s="298">
        <v>8783</v>
      </c>
      <c r="F16" s="299" t="s">
        <v>84</v>
      </c>
      <c r="G16" s="299" t="s">
        <v>84</v>
      </c>
      <c r="H16" s="300" t="s">
        <v>84</v>
      </c>
      <c r="I16" s="298" t="s">
        <v>84</v>
      </c>
      <c r="J16" s="300">
        <v>321</v>
      </c>
      <c r="K16" s="298" t="s">
        <v>84</v>
      </c>
      <c r="L16" s="299" t="s">
        <v>84</v>
      </c>
      <c r="M16" s="299" t="s">
        <v>84</v>
      </c>
      <c r="N16" s="299" t="s">
        <v>84</v>
      </c>
      <c r="O16" s="299" t="s">
        <v>84</v>
      </c>
      <c r="P16" s="300" t="s">
        <v>84</v>
      </c>
      <c r="Q16" s="265" t="s">
        <v>84</v>
      </c>
      <c r="R16" s="298" t="s">
        <v>84</v>
      </c>
      <c r="S16" s="299">
        <f>4340+102442</f>
        <v>106782</v>
      </c>
      <c r="T16" s="299" t="s">
        <v>84</v>
      </c>
      <c r="U16" s="299" t="s">
        <v>84</v>
      </c>
      <c r="V16" s="301" t="s">
        <v>84</v>
      </c>
      <c r="W16" s="302">
        <f>SUM(C16:V16)</f>
        <v>134012</v>
      </c>
    </row>
    <row r="17" spans="1:23" ht="12" customHeight="1">
      <c r="A17" s="336" t="s">
        <v>69</v>
      </c>
      <c r="B17" s="159" t="s">
        <v>36</v>
      </c>
      <c r="C17" s="266" t="s">
        <v>84</v>
      </c>
      <c r="D17" s="277" t="s">
        <v>84</v>
      </c>
      <c r="E17" s="303" t="s">
        <v>84</v>
      </c>
      <c r="F17" s="304" t="s">
        <v>84</v>
      </c>
      <c r="G17" s="304" t="s">
        <v>84</v>
      </c>
      <c r="H17" s="305" t="s">
        <v>84</v>
      </c>
      <c r="I17" s="303" t="s">
        <v>84</v>
      </c>
      <c r="J17" s="305" t="s">
        <v>84</v>
      </c>
      <c r="K17" s="303" t="s">
        <v>84</v>
      </c>
      <c r="L17" s="304" t="s">
        <v>84</v>
      </c>
      <c r="M17" s="304" t="s">
        <v>84</v>
      </c>
      <c r="N17" s="304" t="s">
        <v>84</v>
      </c>
      <c r="O17" s="304" t="s">
        <v>84</v>
      </c>
      <c r="P17" s="305">
        <v>4788</v>
      </c>
      <c r="Q17" s="266">
        <v>3535</v>
      </c>
      <c r="R17" s="303">
        <v>48</v>
      </c>
      <c r="S17" s="304">
        <f>437+930+6171</f>
        <v>7538</v>
      </c>
      <c r="T17" s="304" t="s">
        <v>84</v>
      </c>
      <c r="U17" s="304">
        <v>8</v>
      </c>
      <c r="V17" s="306">
        <v>70</v>
      </c>
      <c r="W17" s="267">
        <f>SUM(C17:V17)</f>
        <v>15987</v>
      </c>
    </row>
    <row r="18" spans="1:23" ht="15.75" customHeight="1" thickBot="1">
      <c r="A18" s="337" t="s">
        <v>35</v>
      </c>
      <c r="B18" s="313" t="s">
        <v>37</v>
      </c>
      <c r="C18" s="268">
        <v>2338</v>
      </c>
      <c r="D18" s="307" t="s">
        <v>84</v>
      </c>
      <c r="E18" s="308" t="s">
        <v>84</v>
      </c>
      <c r="F18" s="309" t="s">
        <v>84</v>
      </c>
      <c r="G18" s="309" t="s">
        <v>84</v>
      </c>
      <c r="H18" s="310" t="s">
        <v>84</v>
      </c>
      <c r="I18" s="308">
        <v>4729</v>
      </c>
      <c r="J18" s="310" t="s">
        <v>84</v>
      </c>
      <c r="K18" s="308" t="s">
        <v>84</v>
      </c>
      <c r="L18" s="309" t="s">
        <v>84</v>
      </c>
      <c r="M18" s="309" t="s">
        <v>84</v>
      </c>
      <c r="N18" s="309" t="s">
        <v>84</v>
      </c>
      <c r="O18" s="309" t="s">
        <v>84</v>
      </c>
      <c r="P18" s="310" t="s">
        <v>84</v>
      </c>
      <c r="Q18" s="268" t="s">
        <v>84</v>
      </c>
      <c r="R18" s="308" t="s">
        <v>84</v>
      </c>
      <c r="S18" s="309" t="s">
        <v>84</v>
      </c>
      <c r="T18" s="309" t="s">
        <v>84</v>
      </c>
      <c r="U18" s="309" t="s">
        <v>84</v>
      </c>
      <c r="V18" s="311" t="s">
        <v>84</v>
      </c>
      <c r="W18" s="312">
        <f>SUM(C18:V18)</f>
        <v>7067</v>
      </c>
    </row>
    <row r="19" spans="1:24" ht="15" customHeight="1" thickBot="1" thickTop="1">
      <c r="A19" s="376" t="s">
        <v>14</v>
      </c>
      <c r="B19" s="376"/>
      <c r="C19" s="269">
        <f aca="true" t="shared" si="3" ref="C19:W19">SUM(C16:C18)</f>
        <v>20464</v>
      </c>
      <c r="D19" s="279">
        <f t="shared" si="3"/>
        <v>0</v>
      </c>
      <c r="E19" s="287">
        <f t="shared" si="3"/>
        <v>8783</v>
      </c>
      <c r="F19" s="288">
        <f t="shared" si="3"/>
        <v>0</v>
      </c>
      <c r="G19" s="288">
        <f t="shared" si="3"/>
        <v>0</v>
      </c>
      <c r="H19" s="289">
        <f t="shared" si="3"/>
        <v>0</v>
      </c>
      <c r="I19" s="287">
        <f t="shared" si="3"/>
        <v>4729</v>
      </c>
      <c r="J19" s="289">
        <f t="shared" si="3"/>
        <v>321</v>
      </c>
      <c r="K19" s="287">
        <f t="shared" si="3"/>
        <v>0</v>
      </c>
      <c r="L19" s="288">
        <f t="shared" si="3"/>
        <v>0</v>
      </c>
      <c r="M19" s="288">
        <f t="shared" si="3"/>
        <v>0</v>
      </c>
      <c r="N19" s="288">
        <f t="shared" si="3"/>
        <v>0</v>
      </c>
      <c r="O19" s="288">
        <f t="shared" si="3"/>
        <v>0</v>
      </c>
      <c r="P19" s="289">
        <f t="shared" si="3"/>
        <v>4788</v>
      </c>
      <c r="Q19" s="269">
        <f t="shared" si="3"/>
        <v>3535</v>
      </c>
      <c r="R19" s="287">
        <f t="shared" si="3"/>
        <v>48</v>
      </c>
      <c r="S19" s="288">
        <f t="shared" si="3"/>
        <v>114320</v>
      </c>
      <c r="T19" s="288">
        <f t="shared" si="3"/>
        <v>0</v>
      </c>
      <c r="U19" s="288">
        <f t="shared" si="3"/>
        <v>8</v>
      </c>
      <c r="V19" s="295">
        <f t="shared" si="3"/>
        <v>70</v>
      </c>
      <c r="W19" s="272">
        <f t="shared" si="3"/>
        <v>157066</v>
      </c>
      <c r="X19" s="259"/>
    </row>
    <row r="20" spans="1:23" ht="12" customHeight="1" thickTop="1">
      <c r="A20" s="335" t="s">
        <v>70</v>
      </c>
      <c r="B20" s="264" t="s">
        <v>38</v>
      </c>
      <c r="C20" s="265" t="s">
        <v>84</v>
      </c>
      <c r="D20" s="297">
        <v>17572</v>
      </c>
      <c r="E20" s="298" t="s">
        <v>84</v>
      </c>
      <c r="F20" s="299" t="s">
        <v>84</v>
      </c>
      <c r="G20" s="299" t="s">
        <v>84</v>
      </c>
      <c r="H20" s="300" t="s">
        <v>84</v>
      </c>
      <c r="I20" s="298" t="s">
        <v>84</v>
      </c>
      <c r="J20" s="300" t="s">
        <v>84</v>
      </c>
      <c r="K20" s="298" t="s">
        <v>84</v>
      </c>
      <c r="L20" s="299" t="s">
        <v>84</v>
      </c>
      <c r="M20" s="299" t="s">
        <v>84</v>
      </c>
      <c r="N20" s="299" t="s">
        <v>84</v>
      </c>
      <c r="O20" s="299" t="s">
        <v>84</v>
      </c>
      <c r="P20" s="300" t="s">
        <v>84</v>
      </c>
      <c r="Q20" s="265" t="s">
        <v>84</v>
      </c>
      <c r="R20" s="298" t="s">
        <v>84</v>
      </c>
      <c r="S20" s="299">
        <v>48</v>
      </c>
      <c r="T20" s="299" t="s">
        <v>84</v>
      </c>
      <c r="U20" s="299" t="s">
        <v>84</v>
      </c>
      <c r="V20" s="301" t="s">
        <v>84</v>
      </c>
      <c r="W20" s="265">
        <f>SUM(C20:V20)</f>
        <v>17620</v>
      </c>
    </row>
    <row r="21" spans="1:23" ht="12" customHeight="1">
      <c r="A21" s="336" t="s">
        <v>69</v>
      </c>
      <c r="B21" s="159" t="s">
        <v>12</v>
      </c>
      <c r="C21" s="266" t="s">
        <v>84</v>
      </c>
      <c r="D21" s="277">
        <v>25005</v>
      </c>
      <c r="E21" s="303" t="s">
        <v>84</v>
      </c>
      <c r="F21" s="304" t="s">
        <v>84</v>
      </c>
      <c r="G21" s="304" t="s">
        <v>84</v>
      </c>
      <c r="H21" s="305" t="s">
        <v>84</v>
      </c>
      <c r="I21" s="303" t="s">
        <v>84</v>
      </c>
      <c r="J21" s="305" t="s">
        <v>84</v>
      </c>
      <c r="K21" s="303" t="s">
        <v>84</v>
      </c>
      <c r="L21" s="304" t="s">
        <v>84</v>
      </c>
      <c r="M21" s="304" t="s">
        <v>84</v>
      </c>
      <c r="N21" s="304" t="s">
        <v>84</v>
      </c>
      <c r="O21" s="304" t="s">
        <v>84</v>
      </c>
      <c r="P21" s="305" t="s">
        <v>84</v>
      </c>
      <c r="Q21" s="266" t="s">
        <v>84</v>
      </c>
      <c r="R21" s="303" t="s">
        <v>84</v>
      </c>
      <c r="S21" s="304" t="s">
        <v>84</v>
      </c>
      <c r="T21" s="304" t="s">
        <v>84</v>
      </c>
      <c r="U21" s="304" t="s">
        <v>84</v>
      </c>
      <c r="V21" s="306" t="s">
        <v>84</v>
      </c>
      <c r="W21" s="266">
        <f>SUM(C21:V21)</f>
        <v>25005</v>
      </c>
    </row>
    <row r="22" spans="1:23" ht="12" customHeight="1" thickBot="1">
      <c r="A22" s="337" t="s">
        <v>38</v>
      </c>
      <c r="B22" s="314" t="s">
        <v>39</v>
      </c>
      <c r="C22" s="268" t="s">
        <v>84</v>
      </c>
      <c r="D22" s="307">
        <v>4409</v>
      </c>
      <c r="E22" s="308" t="s">
        <v>84</v>
      </c>
      <c r="F22" s="309" t="s">
        <v>84</v>
      </c>
      <c r="G22" s="309" t="s">
        <v>84</v>
      </c>
      <c r="H22" s="310" t="s">
        <v>84</v>
      </c>
      <c r="I22" s="308" t="s">
        <v>84</v>
      </c>
      <c r="J22" s="310" t="s">
        <v>84</v>
      </c>
      <c r="K22" s="308" t="s">
        <v>84</v>
      </c>
      <c r="L22" s="309" t="s">
        <v>84</v>
      </c>
      <c r="M22" s="309" t="s">
        <v>84</v>
      </c>
      <c r="N22" s="309" t="s">
        <v>84</v>
      </c>
      <c r="O22" s="309" t="s">
        <v>84</v>
      </c>
      <c r="P22" s="310" t="s">
        <v>84</v>
      </c>
      <c r="Q22" s="268" t="s">
        <v>84</v>
      </c>
      <c r="R22" s="308" t="s">
        <v>84</v>
      </c>
      <c r="S22" s="309">
        <v>18</v>
      </c>
      <c r="T22" s="309" t="s">
        <v>84</v>
      </c>
      <c r="U22" s="309" t="s">
        <v>84</v>
      </c>
      <c r="V22" s="311" t="s">
        <v>84</v>
      </c>
      <c r="W22" s="268">
        <f>SUM(C22:V22)</f>
        <v>4427</v>
      </c>
    </row>
    <row r="23" spans="1:23" ht="15" customHeight="1" thickBot="1" thickTop="1">
      <c r="A23" s="376" t="s">
        <v>14</v>
      </c>
      <c r="B23" s="376"/>
      <c r="C23" s="269">
        <f>SUM(C20:C22)</f>
        <v>0</v>
      </c>
      <c r="D23" s="279">
        <f>SUM(D20:D22)</f>
        <v>46986</v>
      </c>
      <c r="E23" s="287">
        <f aca="true" t="shared" si="4" ref="E23:T23">SUM(E20:E22)</f>
        <v>0</v>
      </c>
      <c r="F23" s="288">
        <f t="shared" si="4"/>
        <v>0</v>
      </c>
      <c r="G23" s="288">
        <f t="shared" si="4"/>
        <v>0</v>
      </c>
      <c r="H23" s="289">
        <f t="shared" si="4"/>
        <v>0</v>
      </c>
      <c r="I23" s="287">
        <f t="shared" si="4"/>
        <v>0</v>
      </c>
      <c r="J23" s="289">
        <f t="shared" si="4"/>
        <v>0</v>
      </c>
      <c r="K23" s="287">
        <f t="shared" si="4"/>
        <v>0</v>
      </c>
      <c r="L23" s="288">
        <f t="shared" si="4"/>
        <v>0</v>
      </c>
      <c r="M23" s="288">
        <f t="shared" si="4"/>
        <v>0</v>
      </c>
      <c r="N23" s="288">
        <f t="shared" si="4"/>
        <v>0</v>
      </c>
      <c r="O23" s="288">
        <f t="shared" si="4"/>
        <v>0</v>
      </c>
      <c r="P23" s="289">
        <f t="shared" si="4"/>
        <v>0</v>
      </c>
      <c r="Q23" s="269">
        <f t="shared" si="4"/>
        <v>0</v>
      </c>
      <c r="R23" s="287">
        <f t="shared" si="4"/>
        <v>0</v>
      </c>
      <c r="S23" s="288">
        <f t="shared" si="4"/>
        <v>66</v>
      </c>
      <c r="T23" s="288">
        <f t="shared" si="4"/>
        <v>0</v>
      </c>
      <c r="U23" s="288">
        <f>SUM(U20:U22)</f>
        <v>0</v>
      </c>
      <c r="V23" s="295">
        <f>SUM(V20:V22)</f>
        <v>0</v>
      </c>
      <c r="W23" s="269">
        <f>SUM(W20:W22)</f>
        <v>47052</v>
      </c>
    </row>
    <row r="24" spans="1:27" ht="12" customHeight="1" thickTop="1">
      <c r="A24" s="331" t="s">
        <v>54</v>
      </c>
      <c r="B24" s="315" t="s">
        <v>40</v>
      </c>
      <c r="C24" s="265">
        <v>15261</v>
      </c>
      <c r="D24" s="297" t="s">
        <v>84</v>
      </c>
      <c r="E24" s="298" t="s">
        <v>84</v>
      </c>
      <c r="F24" s="299">
        <v>58291</v>
      </c>
      <c r="G24" s="299" t="s">
        <v>84</v>
      </c>
      <c r="H24" s="300" t="s">
        <v>84</v>
      </c>
      <c r="I24" s="298" t="s">
        <v>84</v>
      </c>
      <c r="J24" s="300" t="s">
        <v>84</v>
      </c>
      <c r="K24" s="298" t="s">
        <v>84</v>
      </c>
      <c r="L24" s="299" t="s">
        <v>84</v>
      </c>
      <c r="M24" s="299" t="s">
        <v>84</v>
      </c>
      <c r="N24" s="299" t="s">
        <v>84</v>
      </c>
      <c r="O24" s="299" t="s">
        <v>84</v>
      </c>
      <c r="P24" s="300" t="s">
        <v>84</v>
      </c>
      <c r="Q24" s="265">
        <v>7972</v>
      </c>
      <c r="R24" s="298">
        <v>3781.196</v>
      </c>
      <c r="S24" s="299">
        <f>63286+110506+110122</f>
        <v>283914</v>
      </c>
      <c r="T24" s="299">
        <v>39000</v>
      </c>
      <c r="U24" s="299">
        <v>1087</v>
      </c>
      <c r="V24" s="301" t="s">
        <v>84</v>
      </c>
      <c r="W24" s="302">
        <f>SUM(C24:V24)</f>
        <v>409306.196</v>
      </c>
      <c r="Y24" s="260"/>
      <c r="AA24" s="226"/>
    </row>
    <row r="25" spans="1:25" ht="12" customHeight="1">
      <c r="A25" s="332" t="s">
        <v>53</v>
      </c>
      <c r="B25" s="159" t="s">
        <v>31</v>
      </c>
      <c r="C25" s="266" t="s">
        <v>84</v>
      </c>
      <c r="D25" s="277" t="s">
        <v>84</v>
      </c>
      <c r="E25" s="303" t="s">
        <v>84</v>
      </c>
      <c r="F25" s="304" t="s">
        <v>84</v>
      </c>
      <c r="G25" s="304" t="s">
        <v>84</v>
      </c>
      <c r="H25" s="305" t="s">
        <v>84</v>
      </c>
      <c r="I25" s="303" t="s">
        <v>84</v>
      </c>
      <c r="J25" s="305" t="s">
        <v>84</v>
      </c>
      <c r="K25" s="303" t="s">
        <v>84</v>
      </c>
      <c r="L25" s="304" t="s">
        <v>84</v>
      </c>
      <c r="M25" s="304" t="s">
        <v>84</v>
      </c>
      <c r="N25" s="304" t="s">
        <v>84</v>
      </c>
      <c r="O25" s="304" t="s">
        <v>84</v>
      </c>
      <c r="P25" s="305" t="s">
        <v>84</v>
      </c>
      <c r="Q25" s="266">
        <v>8289</v>
      </c>
      <c r="R25" s="303" t="s">
        <v>84</v>
      </c>
      <c r="S25" s="304" t="s">
        <v>84</v>
      </c>
      <c r="T25" s="304" t="str">
        <f>'[1]استزراع مج منطقة'!H14</f>
        <v>-</v>
      </c>
      <c r="U25" s="304">
        <v>509</v>
      </c>
      <c r="V25" s="306" t="s">
        <v>84</v>
      </c>
      <c r="W25" s="267">
        <f>SUM(C25:V25)</f>
        <v>8798</v>
      </c>
      <c r="Y25" s="260"/>
    </row>
    <row r="26" spans="1:25" ht="12" customHeight="1">
      <c r="A26" s="333"/>
      <c r="B26" s="159" t="s">
        <v>41</v>
      </c>
      <c r="C26" s="266" t="s">
        <v>84</v>
      </c>
      <c r="D26" s="277" t="s">
        <v>84</v>
      </c>
      <c r="E26" s="303" t="s">
        <v>84</v>
      </c>
      <c r="F26" s="304" t="s">
        <v>84</v>
      </c>
      <c r="G26" s="304" t="s">
        <v>84</v>
      </c>
      <c r="H26" s="305" t="s">
        <v>84</v>
      </c>
      <c r="I26" s="303" t="s">
        <v>84</v>
      </c>
      <c r="J26" s="305" t="s">
        <v>84</v>
      </c>
      <c r="K26" s="303" t="s">
        <v>84</v>
      </c>
      <c r="L26" s="304" t="s">
        <v>84</v>
      </c>
      <c r="M26" s="304" t="s">
        <v>84</v>
      </c>
      <c r="N26" s="304" t="s">
        <v>84</v>
      </c>
      <c r="O26" s="304" t="s">
        <v>84</v>
      </c>
      <c r="P26" s="305" t="s">
        <v>84</v>
      </c>
      <c r="Q26" s="266">
        <v>10241</v>
      </c>
      <c r="R26" s="303" t="s">
        <v>84</v>
      </c>
      <c r="S26" s="304">
        <v>420</v>
      </c>
      <c r="T26" s="304" t="str">
        <f>'[1]استزراع مج منطقة'!H15</f>
        <v>-</v>
      </c>
      <c r="U26" s="304" t="s">
        <v>84</v>
      </c>
      <c r="V26" s="306">
        <v>60</v>
      </c>
      <c r="W26" s="267">
        <f>SUM(C26:V26)</f>
        <v>10721</v>
      </c>
      <c r="Y26" s="260"/>
    </row>
    <row r="27" spans="1:25" ht="12" customHeight="1" thickBot="1">
      <c r="A27" s="334"/>
      <c r="B27" s="313" t="s">
        <v>129</v>
      </c>
      <c r="C27" s="268" t="s">
        <v>84</v>
      </c>
      <c r="D27" s="307" t="s">
        <v>84</v>
      </c>
      <c r="E27" s="308" t="s">
        <v>84</v>
      </c>
      <c r="F27" s="309" t="s">
        <v>84</v>
      </c>
      <c r="G27" s="309" t="s">
        <v>84</v>
      </c>
      <c r="H27" s="310" t="s">
        <v>84</v>
      </c>
      <c r="I27" s="308" t="s">
        <v>84</v>
      </c>
      <c r="J27" s="310" t="s">
        <v>84</v>
      </c>
      <c r="K27" s="308" t="s">
        <v>84</v>
      </c>
      <c r="L27" s="309" t="s">
        <v>84</v>
      </c>
      <c r="M27" s="309" t="s">
        <v>84</v>
      </c>
      <c r="N27" s="309" t="s">
        <v>84</v>
      </c>
      <c r="O27" s="309" t="s">
        <v>84</v>
      </c>
      <c r="P27" s="310" t="s">
        <v>84</v>
      </c>
      <c r="Q27" s="268">
        <v>15181</v>
      </c>
      <c r="R27" s="308">
        <v>7</v>
      </c>
      <c r="S27" s="309">
        <v>8</v>
      </c>
      <c r="T27" s="309">
        <v>130</v>
      </c>
      <c r="U27" s="309" t="s">
        <v>84</v>
      </c>
      <c r="V27" s="311" t="s">
        <v>84</v>
      </c>
      <c r="W27" s="312">
        <f>SUM(C27:V27)</f>
        <v>15326</v>
      </c>
      <c r="Y27" s="260"/>
    </row>
    <row r="28" spans="1:25" ht="14.25" customHeight="1" thickBot="1" thickTop="1">
      <c r="A28" s="376" t="s">
        <v>14</v>
      </c>
      <c r="B28" s="376"/>
      <c r="C28" s="272">
        <f aca="true" t="shared" si="5" ref="C28:P28">SUM(C24:C27)</f>
        <v>15261</v>
      </c>
      <c r="D28" s="278">
        <f t="shared" si="5"/>
        <v>0</v>
      </c>
      <c r="E28" s="284">
        <f t="shared" si="5"/>
        <v>0</v>
      </c>
      <c r="F28" s="285">
        <f t="shared" si="5"/>
        <v>58291</v>
      </c>
      <c r="G28" s="285">
        <f t="shared" si="5"/>
        <v>0</v>
      </c>
      <c r="H28" s="286">
        <f t="shared" si="5"/>
        <v>0</v>
      </c>
      <c r="I28" s="284">
        <f t="shared" si="5"/>
        <v>0</v>
      </c>
      <c r="J28" s="286">
        <f t="shared" si="5"/>
        <v>0</v>
      </c>
      <c r="K28" s="284">
        <f t="shared" si="5"/>
        <v>0</v>
      </c>
      <c r="L28" s="285">
        <f t="shared" si="5"/>
        <v>0</v>
      </c>
      <c r="M28" s="285">
        <f t="shared" si="5"/>
        <v>0</v>
      </c>
      <c r="N28" s="285">
        <f t="shared" si="5"/>
        <v>0</v>
      </c>
      <c r="O28" s="285">
        <f t="shared" si="5"/>
        <v>0</v>
      </c>
      <c r="P28" s="286">
        <f t="shared" si="5"/>
        <v>0</v>
      </c>
      <c r="Q28" s="272">
        <f aca="true" t="shared" si="6" ref="Q28:W28">SUM(Q24:Q27)</f>
        <v>41683</v>
      </c>
      <c r="R28" s="284">
        <f t="shared" si="6"/>
        <v>3788.196</v>
      </c>
      <c r="S28" s="285">
        <f t="shared" si="6"/>
        <v>284342</v>
      </c>
      <c r="T28" s="285">
        <f t="shared" si="6"/>
        <v>39130</v>
      </c>
      <c r="U28" s="285">
        <f t="shared" si="6"/>
        <v>1596</v>
      </c>
      <c r="V28" s="294">
        <f t="shared" si="6"/>
        <v>60</v>
      </c>
      <c r="W28" s="272">
        <f t="shared" si="6"/>
        <v>444151.196</v>
      </c>
      <c r="Y28" s="260"/>
    </row>
    <row r="29" spans="1:25" ht="12" customHeight="1" thickTop="1">
      <c r="A29" s="331" t="s">
        <v>23</v>
      </c>
      <c r="B29" s="315" t="s">
        <v>50</v>
      </c>
      <c r="C29" s="265" t="s">
        <v>84</v>
      </c>
      <c r="D29" s="316" t="s">
        <v>84</v>
      </c>
      <c r="E29" s="317" t="s">
        <v>84</v>
      </c>
      <c r="F29" s="318" t="s">
        <v>84</v>
      </c>
      <c r="G29" s="318" t="s">
        <v>84</v>
      </c>
      <c r="H29" s="319" t="s">
        <v>84</v>
      </c>
      <c r="I29" s="317" t="s">
        <v>84</v>
      </c>
      <c r="J29" s="319" t="s">
        <v>84</v>
      </c>
      <c r="K29" s="317" t="s">
        <v>84</v>
      </c>
      <c r="L29" s="318" t="s">
        <v>84</v>
      </c>
      <c r="M29" s="318" t="s">
        <v>84</v>
      </c>
      <c r="N29" s="318" t="s">
        <v>84</v>
      </c>
      <c r="O29" s="318" t="s">
        <v>84</v>
      </c>
      <c r="P29" s="319" t="s">
        <v>84</v>
      </c>
      <c r="Q29" s="265">
        <f>1198+3950</f>
        <v>5148</v>
      </c>
      <c r="R29" s="298">
        <v>8</v>
      </c>
      <c r="S29" s="299">
        <v>412</v>
      </c>
      <c r="T29" s="299" t="s">
        <v>84</v>
      </c>
      <c r="U29" s="299" t="s">
        <v>84</v>
      </c>
      <c r="V29" s="301" t="s">
        <v>84</v>
      </c>
      <c r="W29" s="265">
        <f aca="true" t="shared" si="7" ref="W29:W34">SUM(C29:V29)</f>
        <v>5568</v>
      </c>
      <c r="Y29" s="260"/>
    </row>
    <row r="30" spans="1:25" ht="12" customHeight="1">
      <c r="A30" s="332" t="s">
        <v>52</v>
      </c>
      <c r="B30" s="159" t="s">
        <v>42</v>
      </c>
      <c r="C30" s="266" t="s">
        <v>84</v>
      </c>
      <c r="D30" s="280" t="s">
        <v>84</v>
      </c>
      <c r="E30" s="320" t="s">
        <v>84</v>
      </c>
      <c r="F30" s="321" t="s">
        <v>84</v>
      </c>
      <c r="G30" s="321" t="s">
        <v>84</v>
      </c>
      <c r="H30" s="322" t="s">
        <v>84</v>
      </c>
      <c r="I30" s="320" t="s">
        <v>84</v>
      </c>
      <c r="J30" s="322" t="s">
        <v>84</v>
      </c>
      <c r="K30" s="303">
        <v>3072</v>
      </c>
      <c r="L30" s="304">
        <v>2126</v>
      </c>
      <c r="M30" s="321" t="s">
        <v>84</v>
      </c>
      <c r="N30" s="321" t="s">
        <v>84</v>
      </c>
      <c r="O30" s="321" t="s">
        <v>84</v>
      </c>
      <c r="P30" s="322" t="s">
        <v>84</v>
      </c>
      <c r="Q30" s="266">
        <v>4151</v>
      </c>
      <c r="R30" s="303" t="s">
        <v>84</v>
      </c>
      <c r="S30" s="304">
        <f>4242+408</f>
        <v>4650</v>
      </c>
      <c r="T30" s="304">
        <v>260</v>
      </c>
      <c r="U30" s="304">
        <v>215</v>
      </c>
      <c r="V30" s="306">
        <v>530</v>
      </c>
      <c r="W30" s="266">
        <f t="shared" si="7"/>
        <v>15004</v>
      </c>
      <c r="Y30" s="260"/>
    </row>
    <row r="31" spans="1:25" ht="12" customHeight="1">
      <c r="A31" s="333"/>
      <c r="B31" s="159" t="s">
        <v>43</v>
      </c>
      <c r="C31" s="266" t="s">
        <v>84</v>
      </c>
      <c r="D31" s="280" t="s">
        <v>84</v>
      </c>
      <c r="E31" s="320" t="s">
        <v>84</v>
      </c>
      <c r="F31" s="321" t="s">
        <v>84</v>
      </c>
      <c r="G31" s="321" t="s">
        <v>84</v>
      </c>
      <c r="H31" s="322" t="s">
        <v>84</v>
      </c>
      <c r="I31" s="320" t="s">
        <v>84</v>
      </c>
      <c r="J31" s="322" t="s">
        <v>84</v>
      </c>
      <c r="K31" s="320" t="s">
        <v>84</v>
      </c>
      <c r="L31" s="321" t="s">
        <v>84</v>
      </c>
      <c r="M31" s="321" t="s">
        <v>84</v>
      </c>
      <c r="N31" s="321" t="s">
        <v>84</v>
      </c>
      <c r="O31" s="321" t="s">
        <v>84</v>
      </c>
      <c r="P31" s="322" t="s">
        <v>84</v>
      </c>
      <c r="Q31" s="266">
        <v>7501</v>
      </c>
      <c r="R31" s="303" t="s">
        <v>84</v>
      </c>
      <c r="S31" s="304" t="s">
        <v>84</v>
      </c>
      <c r="T31" s="304" t="s">
        <v>84</v>
      </c>
      <c r="U31" s="304" t="s">
        <v>84</v>
      </c>
      <c r="V31" s="306" t="s">
        <v>84</v>
      </c>
      <c r="W31" s="266">
        <f t="shared" si="7"/>
        <v>7501</v>
      </c>
      <c r="Y31" s="260"/>
    </row>
    <row r="32" spans="1:25" ht="12" customHeight="1">
      <c r="A32" s="333"/>
      <c r="B32" s="159" t="s">
        <v>131</v>
      </c>
      <c r="C32" s="266" t="s">
        <v>84</v>
      </c>
      <c r="D32" s="280" t="s">
        <v>84</v>
      </c>
      <c r="E32" s="320" t="s">
        <v>84</v>
      </c>
      <c r="F32" s="321" t="s">
        <v>84</v>
      </c>
      <c r="G32" s="321" t="s">
        <v>84</v>
      </c>
      <c r="H32" s="322" t="s">
        <v>84</v>
      </c>
      <c r="I32" s="320" t="s">
        <v>84</v>
      </c>
      <c r="J32" s="322" t="s">
        <v>84</v>
      </c>
      <c r="K32" s="320" t="s">
        <v>84</v>
      </c>
      <c r="L32" s="321" t="s">
        <v>84</v>
      </c>
      <c r="M32" s="321" t="s">
        <v>84</v>
      </c>
      <c r="N32" s="321" t="s">
        <v>84</v>
      </c>
      <c r="O32" s="321" t="s">
        <v>84</v>
      </c>
      <c r="P32" s="322" t="s">
        <v>84</v>
      </c>
      <c r="Q32" s="266">
        <v>4322</v>
      </c>
      <c r="R32" s="303" t="s">
        <v>84</v>
      </c>
      <c r="S32" s="304">
        <v>132</v>
      </c>
      <c r="T32" s="304">
        <v>8</v>
      </c>
      <c r="U32" s="304" t="s">
        <v>84</v>
      </c>
      <c r="V32" s="306" t="s">
        <v>84</v>
      </c>
      <c r="W32" s="266">
        <f t="shared" si="7"/>
        <v>4462</v>
      </c>
      <c r="Y32" s="260"/>
    </row>
    <row r="33" spans="1:25" ht="12" customHeight="1">
      <c r="A33" s="333"/>
      <c r="B33" s="159" t="s">
        <v>44</v>
      </c>
      <c r="C33" s="266" t="s">
        <v>84</v>
      </c>
      <c r="D33" s="280" t="s">
        <v>84</v>
      </c>
      <c r="E33" s="320" t="s">
        <v>84</v>
      </c>
      <c r="F33" s="321" t="s">
        <v>84</v>
      </c>
      <c r="G33" s="321" t="s">
        <v>84</v>
      </c>
      <c r="H33" s="322" t="s">
        <v>84</v>
      </c>
      <c r="I33" s="320" t="s">
        <v>84</v>
      </c>
      <c r="J33" s="322" t="s">
        <v>84</v>
      </c>
      <c r="K33" s="320" t="s">
        <v>84</v>
      </c>
      <c r="L33" s="321" t="s">
        <v>84</v>
      </c>
      <c r="M33" s="321" t="s">
        <v>84</v>
      </c>
      <c r="N33" s="321" t="s">
        <v>84</v>
      </c>
      <c r="O33" s="321" t="s">
        <v>84</v>
      </c>
      <c r="P33" s="322" t="s">
        <v>84</v>
      </c>
      <c r="Q33" s="266">
        <v>5020</v>
      </c>
      <c r="R33" s="303" t="s">
        <v>84</v>
      </c>
      <c r="S33" s="304" t="s">
        <v>84</v>
      </c>
      <c r="T33" s="304" t="s">
        <v>84</v>
      </c>
      <c r="U33" s="304" t="s">
        <v>84</v>
      </c>
      <c r="V33" s="306" t="s">
        <v>84</v>
      </c>
      <c r="W33" s="266">
        <f t="shared" si="7"/>
        <v>5020</v>
      </c>
      <c r="Y33" s="260"/>
    </row>
    <row r="34" spans="1:25" ht="12" customHeight="1" thickBot="1">
      <c r="A34" s="334"/>
      <c r="B34" s="313" t="s">
        <v>148</v>
      </c>
      <c r="C34" s="268" t="s">
        <v>84</v>
      </c>
      <c r="D34" s="323" t="s">
        <v>84</v>
      </c>
      <c r="E34" s="324" t="s">
        <v>84</v>
      </c>
      <c r="F34" s="325" t="s">
        <v>84</v>
      </c>
      <c r="G34" s="325" t="s">
        <v>84</v>
      </c>
      <c r="H34" s="326" t="s">
        <v>84</v>
      </c>
      <c r="I34" s="324" t="s">
        <v>84</v>
      </c>
      <c r="J34" s="326" t="s">
        <v>84</v>
      </c>
      <c r="K34" s="324" t="s">
        <v>84</v>
      </c>
      <c r="L34" s="325" t="s">
        <v>84</v>
      </c>
      <c r="M34" s="325" t="s">
        <v>84</v>
      </c>
      <c r="N34" s="325" t="s">
        <v>84</v>
      </c>
      <c r="O34" s="325">
        <v>482</v>
      </c>
      <c r="P34" s="326" t="s">
        <v>84</v>
      </c>
      <c r="Q34" s="327" t="s">
        <v>84</v>
      </c>
      <c r="R34" s="308" t="s">
        <v>84</v>
      </c>
      <c r="S34" s="309">
        <v>10160</v>
      </c>
      <c r="T34" s="309" t="s">
        <v>84</v>
      </c>
      <c r="U34" s="309"/>
      <c r="V34" s="311" t="s">
        <v>84</v>
      </c>
      <c r="W34" s="268">
        <f t="shared" si="7"/>
        <v>10642</v>
      </c>
      <c r="Y34" s="260"/>
    </row>
    <row r="35" spans="1:25" ht="18" customHeight="1" thickBot="1" thickTop="1">
      <c r="A35" s="376" t="s">
        <v>14</v>
      </c>
      <c r="B35" s="376"/>
      <c r="C35" s="269">
        <f aca="true" t="shared" si="8" ref="C35:J35">SUM(C29:C34)</f>
        <v>0</v>
      </c>
      <c r="D35" s="279">
        <f t="shared" si="8"/>
        <v>0</v>
      </c>
      <c r="E35" s="287">
        <f t="shared" si="8"/>
        <v>0</v>
      </c>
      <c r="F35" s="288">
        <f t="shared" si="8"/>
        <v>0</v>
      </c>
      <c r="G35" s="288">
        <f t="shared" si="8"/>
        <v>0</v>
      </c>
      <c r="H35" s="289">
        <f t="shared" si="8"/>
        <v>0</v>
      </c>
      <c r="I35" s="287">
        <f t="shared" si="8"/>
        <v>0</v>
      </c>
      <c r="J35" s="289">
        <f t="shared" si="8"/>
        <v>0</v>
      </c>
      <c r="K35" s="287">
        <f aca="true" t="shared" si="9" ref="K35:W35">SUM(K29:K34)</f>
        <v>3072</v>
      </c>
      <c r="L35" s="288">
        <f t="shared" si="9"/>
        <v>2126</v>
      </c>
      <c r="M35" s="288">
        <f aca="true" t="shared" si="10" ref="M35:S35">SUM(M29:M34)</f>
        <v>0</v>
      </c>
      <c r="N35" s="288">
        <f t="shared" si="10"/>
        <v>0</v>
      </c>
      <c r="O35" s="288">
        <f>SUM(O29:O34)</f>
        <v>482</v>
      </c>
      <c r="P35" s="289">
        <f t="shared" si="10"/>
        <v>0</v>
      </c>
      <c r="Q35" s="269">
        <f t="shared" si="10"/>
        <v>26142</v>
      </c>
      <c r="R35" s="287">
        <f t="shared" si="10"/>
        <v>8</v>
      </c>
      <c r="S35" s="288">
        <f t="shared" si="10"/>
        <v>15354</v>
      </c>
      <c r="T35" s="288">
        <f t="shared" si="9"/>
        <v>268</v>
      </c>
      <c r="U35" s="288">
        <f t="shared" si="9"/>
        <v>215</v>
      </c>
      <c r="V35" s="295">
        <f t="shared" si="9"/>
        <v>530</v>
      </c>
      <c r="W35" s="269">
        <f t="shared" si="9"/>
        <v>48197</v>
      </c>
      <c r="Y35" s="260"/>
    </row>
    <row r="36" spans="1:25" ht="12" customHeight="1" thickTop="1">
      <c r="A36" s="368" t="s">
        <v>45</v>
      </c>
      <c r="B36" s="264" t="s">
        <v>46</v>
      </c>
      <c r="C36" s="265" t="s">
        <v>84</v>
      </c>
      <c r="D36" s="316" t="s">
        <v>84</v>
      </c>
      <c r="E36" s="317" t="s">
        <v>84</v>
      </c>
      <c r="F36" s="318" t="s">
        <v>84</v>
      </c>
      <c r="G36" s="318" t="s">
        <v>84</v>
      </c>
      <c r="H36" s="319" t="s">
        <v>84</v>
      </c>
      <c r="I36" s="317" t="s">
        <v>84</v>
      </c>
      <c r="J36" s="319" t="s">
        <v>84</v>
      </c>
      <c r="K36" s="317" t="s">
        <v>84</v>
      </c>
      <c r="L36" s="318" t="s">
        <v>84</v>
      </c>
      <c r="M36" s="318" t="s">
        <v>84</v>
      </c>
      <c r="N36" s="318" t="s">
        <v>84</v>
      </c>
      <c r="O36" s="318" t="s">
        <v>84</v>
      </c>
      <c r="P36" s="319" t="s">
        <v>84</v>
      </c>
      <c r="Q36" s="265">
        <v>8650</v>
      </c>
      <c r="R36" s="317" t="s">
        <v>84</v>
      </c>
      <c r="S36" s="318" t="s">
        <v>84</v>
      </c>
      <c r="T36" s="299"/>
      <c r="U36" s="318" t="s">
        <v>84</v>
      </c>
      <c r="V36" s="328">
        <v>10</v>
      </c>
      <c r="W36" s="302">
        <f>SUM(C36:V36)</f>
        <v>8660</v>
      </c>
      <c r="Y36" s="260"/>
    </row>
    <row r="37" spans="1:25" ht="12" customHeight="1">
      <c r="A37" s="369"/>
      <c r="B37" s="159" t="s">
        <v>67</v>
      </c>
      <c r="C37" s="266" t="s">
        <v>84</v>
      </c>
      <c r="D37" s="280" t="s">
        <v>84</v>
      </c>
      <c r="E37" s="320" t="s">
        <v>84</v>
      </c>
      <c r="F37" s="321" t="s">
        <v>84</v>
      </c>
      <c r="G37" s="321" t="s">
        <v>84</v>
      </c>
      <c r="H37" s="322" t="s">
        <v>84</v>
      </c>
      <c r="I37" s="320" t="s">
        <v>84</v>
      </c>
      <c r="J37" s="322" t="s">
        <v>84</v>
      </c>
      <c r="K37" s="320" t="s">
        <v>84</v>
      </c>
      <c r="L37" s="321" t="s">
        <v>84</v>
      </c>
      <c r="M37" s="321" t="s">
        <v>84</v>
      </c>
      <c r="N37" s="321" t="s">
        <v>84</v>
      </c>
      <c r="O37" s="321" t="s">
        <v>84</v>
      </c>
      <c r="P37" s="322" t="s">
        <v>84</v>
      </c>
      <c r="Q37" s="266">
        <v>4800</v>
      </c>
      <c r="R37" s="320" t="s">
        <v>84</v>
      </c>
      <c r="S37" s="321" t="s">
        <v>84</v>
      </c>
      <c r="T37" s="321" t="s">
        <v>84</v>
      </c>
      <c r="U37" s="321" t="s">
        <v>84</v>
      </c>
      <c r="V37" s="329" t="s">
        <v>84</v>
      </c>
      <c r="W37" s="267">
        <f>SUM(C37:V37)</f>
        <v>4800</v>
      </c>
      <c r="Y37" s="260"/>
    </row>
    <row r="38" spans="1:25" ht="15" customHeight="1" thickBot="1">
      <c r="A38" s="370"/>
      <c r="B38" s="313" t="s">
        <v>45</v>
      </c>
      <c r="C38" s="268" t="s">
        <v>84</v>
      </c>
      <c r="D38" s="323" t="s">
        <v>84</v>
      </c>
      <c r="E38" s="324" t="s">
        <v>84</v>
      </c>
      <c r="F38" s="325" t="s">
        <v>84</v>
      </c>
      <c r="G38" s="325" t="s">
        <v>84</v>
      </c>
      <c r="H38" s="326" t="s">
        <v>84</v>
      </c>
      <c r="I38" s="324" t="s">
        <v>84</v>
      </c>
      <c r="J38" s="326" t="s">
        <v>84</v>
      </c>
      <c r="K38" s="324" t="s">
        <v>84</v>
      </c>
      <c r="L38" s="325" t="s">
        <v>84</v>
      </c>
      <c r="M38" s="309">
        <v>19592</v>
      </c>
      <c r="N38" s="309">
        <v>2791</v>
      </c>
      <c r="O38" s="325" t="s">
        <v>84</v>
      </c>
      <c r="P38" s="326" t="s">
        <v>84</v>
      </c>
      <c r="Q38" s="268">
        <v>2201</v>
      </c>
      <c r="R38" s="324" t="s">
        <v>84</v>
      </c>
      <c r="S38" s="325" t="s">
        <v>84</v>
      </c>
      <c r="T38" s="325" t="s">
        <v>84</v>
      </c>
      <c r="U38" s="325" t="s">
        <v>84</v>
      </c>
      <c r="V38" s="330" t="s">
        <v>84</v>
      </c>
      <c r="W38" s="312">
        <f>SUM(C38:V38)</f>
        <v>24584</v>
      </c>
      <c r="Y38" s="260"/>
    </row>
    <row r="39" spans="1:23" ht="17.25" customHeight="1" thickBot="1" thickTop="1">
      <c r="A39" s="376" t="s">
        <v>14</v>
      </c>
      <c r="B39" s="376"/>
      <c r="C39" s="269">
        <f aca="true" t="shared" si="11" ref="C39:L39">SUM(C36:C38)</f>
        <v>0</v>
      </c>
      <c r="D39" s="279">
        <f t="shared" si="11"/>
        <v>0</v>
      </c>
      <c r="E39" s="287">
        <f t="shared" si="11"/>
        <v>0</v>
      </c>
      <c r="F39" s="288">
        <f t="shared" si="11"/>
        <v>0</v>
      </c>
      <c r="G39" s="288">
        <f t="shared" si="11"/>
        <v>0</v>
      </c>
      <c r="H39" s="289">
        <f t="shared" si="11"/>
        <v>0</v>
      </c>
      <c r="I39" s="287">
        <f t="shared" si="11"/>
        <v>0</v>
      </c>
      <c r="J39" s="289">
        <f t="shared" si="11"/>
        <v>0</v>
      </c>
      <c r="K39" s="287">
        <f t="shared" si="11"/>
        <v>0</v>
      </c>
      <c r="L39" s="288">
        <f t="shared" si="11"/>
        <v>0</v>
      </c>
      <c r="M39" s="288">
        <f aca="true" t="shared" si="12" ref="M39:W39">SUM(M36:M38)</f>
        <v>19592</v>
      </c>
      <c r="N39" s="288">
        <f t="shared" si="12"/>
        <v>2791</v>
      </c>
      <c r="O39" s="288">
        <f t="shared" si="12"/>
        <v>0</v>
      </c>
      <c r="P39" s="289">
        <f t="shared" si="12"/>
        <v>0</v>
      </c>
      <c r="Q39" s="269">
        <f>SUM(Q36:Q38)</f>
        <v>15651</v>
      </c>
      <c r="R39" s="287">
        <f t="shared" si="12"/>
        <v>0</v>
      </c>
      <c r="S39" s="288">
        <f t="shared" si="12"/>
        <v>0</v>
      </c>
      <c r="T39" s="288">
        <f t="shared" si="12"/>
        <v>0</v>
      </c>
      <c r="U39" s="288">
        <f t="shared" si="12"/>
        <v>0</v>
      </c>
      <c r="V39" s="295">
        <f t="shared" si="12"/>
        <v>10</v>
      </c>
      <c r="W39" s="272">
        <f t="shared" si="12"/>
        <v>38044</v>
      </c>
    </row>
    <row r="40" spans="1:23" ht="15" customHeight="1" thickBot="1" thickTop="1">
      <c r="A40" s="391" t="s">
        <v>85</v>
      </c>
      <c r="B40" s="392"/>
      <c r="C40" s="270">
        <f aca="true" t="shared" si="13" ref="C40:S40">+C11+C15+C19+C23+C28+C35+C39</f>
        <v>83762</v>
      </c>
      <c r="D40" s="271">
        <f t="shared" si="13"/>
        <v>46986</v>
      </c>
      <c r="E40" s="287">
        <f t="shared" si="13"/>
        <v>36783</v>
      </c>
      <c r="F40" s="288">
        <f t="shared" si="13"/>
        <v>58291</v>
      </c>
      <c r="G40" s="288">
        <f t="shared" si="13"/>
        <v>6645</v>
      </c>
      <c r="H40" s="289">
        <f t="shared" si="13"/>
        <v>4413</v>
      </c>
      <c r="I40" s="287">
        <f t="shared" si="13"/>
        <v>4729</v>
      </c>
      <c r="J40" s="289">
        <f t="shared" si="13"/>
        <v>321</v>
      </c>
      <c r="K40" s="287">
        <f t="shared" si="13"/>
        <v>3072</v>
      </c>
      <c r="L40" s="288">
        <f t="shared" si="13"/>
        <v>2126</v>
      </c>
      <c r="M40" s="288">
        <f t="shared" si="13"/>
        <v>19592</v>
      </c>
      <c r="N40" s="288">
        <f t="shared" si="13"/>
        <v>2791</v>
      </c>
      <c r="O40" s="288">
        <f t="shared" si="13"/>
        <v>482</v>
      </c>
      <c r="P40" s="289">
        <f t="shared" si="13"/>
        <v>4788</v>
      </c>
      <c r="Q40" s="269">
        <f t="shared" si="13"/>
        <v>97710</v>
      </c>
      <c r="R40" s="287">
        <f t="shared" si="13"/>
        <v>8539.45</v>
      </c>
      <c r="S40" s="288">
        <f t="shared" si="13"/>
        <v>557822</v>
      </c>
      <c r="T40" s="288">
        <f>+T11+T15+T19+T23+T28+T35+T39</f>
        <v>62276</v>
      </c>
      <c r="U40" s="288">
        <f>+U11+U15+U19+U23+U28+U35+U39</f>
        <v>5300</v>
      </c>
      <c r="V40" s="295">
        <f>+V11+V15+V19+V23+V28+V35+V39</f>
        <v>1580</v>
      </c>
      <c r="W40" s="269">
        <f>+W11+W15+W19+W23+W28+W35+W39</f>
        <v>1008008.45</v>
      </c>
    </row>
    <row r="41" ht="15" customHeight="1" thickTop="1">
      <c r="D41" s="262"/>
    </row>
  </sheetData>
  <sheetProtection/>
  <mergeCells count="22">
    <mergeCell ref="A39:B39"/>
    <mergeCell ref="A40:B40"/>
    <mergeCell ref="A15:B15"/>
    <mergeCell ref="A11:B11"/>
    <mergeCell ref="A35:B35"/>
    <mergeCell ref="A28:B28"/>
    <mergeCell ref="A1:C1"/>
    <mergeCell ref="A2:C2"/>
    <mergeCell ref="A3:D3"/>
    <mergeCell ref="A6:B6"/>
    <mergeCell ref="A7:B7"/>
    <mergeCell ref="K6:P6"/>
    <mergeCell ref="I6:J6"/>
    <mergeCell ref="A36:A38"/>
    <mergeCell ref="A4:W4"/>
    <mergeCell ref="A5:W5"/>
    <mergeCell ref="E6:H6"/>
    <mergeCell ref="C6:D6"/>
    <mergeCell ref="A23:B23"/>
    <mergeCell ref="A19:B19"/>
    <mergeCell ref="R6:V6"/>
    <mergeCell ref="Q6:Q7"/>
  </mergeCells>
  <printOptions/>
  <pageMargins left="0" right="0" top="0.3937007874015748" bottom="0.1968503937007874" header="0.3937007874015748" footer="0.15748031496062992"/>
  <pageSetup fitToHeight="1" fitToWidth="1" horizontalDpi="300" verticalDpi="300" orientation="landscape" paperSize="9" scale="74" r:id="rId1"/>
  <headerFooter alignWithMargins="0">
    <oddFooter>&amp;C[ 7 ]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66"/>
  <sheetViews>
    <sheetView zoomScalePageLayoutView="0" workbookViewId="0" topLeftCell="A16">
      <selection activeCell="A4" sqref="A4:Q4"/>
    </sheetView>
  </sheetViews>
  <sheetFormatPr defaultColWidth="9.140625" defaultRowHeight="12.75"/>
  <cols>
    <col min="1" max="1" width="25.421875" style="4" customWidth="1"/>
    <col min="2" max="3" width="7.00390625" style="4" customWidth="1"/>
    <col min="4" max="4" width="8.8515625" style="4" customWidth="1"/>
    <col min="5" max="5" width="7.8515625" style="4" customWidth="1"/>
    <col min="6" max="6" width="6.8515625" style="4" customWidth="1"/>
    <col min="7" max="7" width="10.57421875" style="4" customWidth="1"/>
    <col min="8" max="8" width="11.8515625" style="4" customWidth="1"/>
    <col min="9" max="9" width="8.57421875" style="4" customWidth="1"/>
    <col min="10" max="10" width="7.00390625" style="4" customWidth="1"/>
    <col min="11" max="11" width="6.8515625" style="4" customWidth="1"/>
    <col min="12" max="12" width="6.7109375" style="4" customWidth="1"/>
    <col min="13" max="13" width="7.57421875" style="4" customWidth="1"/>
    <col min="14" max="14" width="9.8515625" style="4" customWidth="1"/>
    <col min="15" max="15" width="6.00390625" style="4" customWidth="1"/>
    <col min="16" max="16" width="7.8515625" style="4" customWidth="1"/>
    <col min="17" max="17" width="8.28125" style="4" customWidth="1"/>
    <col min="18" max="16384" width="9.140625" style="15" customWidth="1"/>
  </cols>
  <sheetData>
    <row r="1" spans="1:3" ht="15.75">
      <c r="A1" s="363" t="s">
        <v>0</v>
      </c>
      <c r="B1" s="363"/>
      <c r="C1" s="60"/>
    </row>
    <row r="2" spans="1:3" ht="15.75">
      <c r="A2" s="363" t="s">
        <v>1</v>
      </c>
      <c r="B2" s="363"/>
      <c r="C2" s="60"/>
    </row>
    <row r="3" spans="1:3" ht="15.75">
      <c r="A3" s="363" t="s">
        <v>2</v>
      </c>
      <c r="B3" s="363"/>
      <c r="C3" s="363"/>
    </row>
    <row r="4" spans="1:17" ht="24.75" customHeight="1">
      <c r="A4" s="347" t="s">
        <v>165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24.75" customHeight="1">
      <c r="A5" s="393" t="s">
        <v>171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</row>
    <row r="6" spans="1:17" ht="24.75" customHeight="1" thickBo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8" customHeight="1" thickTop="1">
      <c r="A7" s="132" t="s">
        <v>19</v>
      </c>
      <c r="B7" s="394" t="s">
        <v>58</v>
      </c>
      <c r="C7" s="394"/>
      <c r="D7" s="394" t="s">
        <v>6</v>
      </c>
      <c r="E7" s="394"/>
      <c r="F7" s="394"/>
      <c r="G7" s="394"/>
      <c r="H7" s="395" t="s">
        <v>73</v>
      </c>
      <c r="I7" s="395"/>
      <c r="J7" s="394" t="s">
        <v>10</v>
      </c>
      <c r="K7" s="394"/>
      <c r="L7" s="394"/>
      <c r="M7" s="394"/>
      <c r="N7" s="394"/>
      <c r="O7" s="394"/>
      <c r="P7" s="396" t="s">
        <v>157</v>
      </c>
      <c r="Q7" s="242" t="s">
        <v>14</v>
      </c>
    </row>
    <row r="8" spans="1:17" ht="21" customHeight="1" thickBot="1">
      <c r="A8" s="133" t="s">
        <v>18</v>
      </c>
      <c r="B8" s="243" t="s">
        <v>158</v>
      </c>
      <c r="C8" s="243" t="s">
        <v>3</v>
      </c>
      <c r="D8" s="243" t="s">
        <v>4</v>
      </c>
      <c r="E8" s="243" t="s">
        <v>5</v>
      </c>
      <c r="F8" s="243" t="s">
        <v>151</v>
      </c>
      <c r="G8" s="244" t="s">
        <v>152</v>
      </c>
      <c r="H8" s="244" t="s">
        <v>74</v>
      </c>
      <c r="I8" s="244" t="s">
        <v>22</v>
      </c>
      <c r="J8" s="243" t="s">
        <v>153</v>
      </c>
      <c r="K8" s="243" t="s">
        <v>21</v>
      </c>
      <c r="L8" s="243" t="s">
        <v>8</v>
      </c>
      <c r="M8" s="243" t="s">
        <v>146</v>
      </c>
      <c r="N8" s="243" t="s">
        <v>166</v>
      </c>
      <c r="O8" s="243" t="s">
        <v>59</v>
      </c>
      <c r="P8" s="397"/>
      <c r="Q8" s="244" t="s">
        <v>81</v>
      </c>
    </row>
    <row r="9" spans="1:19" s="14" customFormat="1" ht="15" customHeight="1" thickTop="1">
      <c r="A9" s="241" t="s">
        <v>66</v>
      </c>
      <c r="B9" s="108" t="s">
        <v>84</v>
      </c>
      <c r="C9" s="105" t="s">
        <v>84</v>
      </c>
      <c r="D9" s="245" t="s">
        <v>84</v>
      </c>
      <c r="E9" s="106" t="s">
        <v>84</v>
      </c>
      <c r="F9" s="106" t="s">
        <v>84</v>
      </c>
      <c r="G9" s="107" t="s">
        <v>84</v>
      </c>
      <c r="H9" s="108" t="s">
        <v>84</v>
      </c>
      <c r="I9" s="105" t="s">
        <v>84</v>
      </c>
      <c r="J9" s="245" t="s">
        <v>84</v>
      </c>
      <c r="K9" s="106" t="s">
        <v>84</v>
      </c>
      <c r="L9" s="106" t="s">
        <v>84</v>
      </c>
      <c r="M9" s="106" t="s">
        <v>84</v>
      </c>
      <c r="N9" s="106" t="s">
        <v>84</v>
      </c>
      <c r="O9" s="107" t="s">
        <v>84</v>
      </c>
      <c r="P9" s="131">
        <v>920</v>
      </c>
      <c r="Q9" s="131">
        <f>SUM(P9)</f>
        <v>920</v>
      </c>
      <c r="R9" s="110"/>
      <c r="S9" s="19"/>
    </row>
    <row r="10" spans="1:19" s="14" customFormat="1" ht="15" customHeight="1">
      <c r="A10" s="111" t="s">
        <v>102</v>
      </c>
      <c r="B10" s="114">
        <v>653</v>
      </c>
      <c r="C10" s="112" t="s">
        <v>84</v>
      </c>
      <c r="D10" s="246" t="s">
        <v>84</v>
      </c>
      <c r="E10" s="109" t="s">
        <v>84</v>
      </c>
      <c r="F10" s="109" t="s">
        <v>84</v>
      </c>
      <c r="G10" s="113" t="s">
        <v>84</v>
      </c>
      <c r="H10" s="114" t="s">
        <v>84</v>
      </c>
      <c r="I10" s="112" t="s">
        <v>84</v>
      </c>
      <c r="J10" s="246" t="s">
        <v>84</v>
      </c>
      <c r="K10" s="109" t="s">
        <v>84</v>
      </c>
      <c r="L10" s="109" t="s">
        <v>84</v>
      </c>
      <c r="M10" s="109" t="s">
        <v>84</v>
      </c>
      <c r="N10" s="109" t="s">
        <v>84</v>
      </c>
      <c r="O10" s="113" t="s">
        <v>84</v>
      </c>
      <c r="P10" s="115" t="s">
        <v>84</v>
      </c>
      <c r="Q10" s="115">
        <f>SUM(B10:P10)</f>
        <v>653</v>
      </c>
      <c r="S10" s="19"/>
    </row>
    <row r="11" spans="1:19" s="14" customFormat="1" ht="15" customHeight="1">
      <c r="A11" s="111" t="s">
        <v>86</v>
      </c>
      <c r="B11" s="114">
        <v>3677</v>
      </c>
      <c r="C11" s="112">
        <v>2110</v>
      </c>
      <c r="D11" s="246" t="s">
        <v>84</v>
      </c>
      <c r="E11" s="109" t="s">
        <v>84</v>
      </c>
      <c r="F11" s="109" t="s">
        <v>84</v>
      </c>
      <c r="G11" s="113" t="s">
        <v>84</v>
      </c>
      <c r="H11" s="114" t="s">
        <v>84</v>
      </c>
      <c r="I11" s="112" t="s">
        <v>84</v>
      </c>
      <c r="J11" s="246" t="s">
        <v>84</v>
      </c>
      <c r="K11" s="109" t="s">
        <v>84</v>
      </c>
      <c r="L11" s="109" t="s">
        <v>84</v>
      </c>
      <c r="M11" s="109" t="s">
        <v>84</v>
      </c>
      <c r="N11" s="109" t="s">
        <v>84</v>
      </c>
      <c r="O11" s="113" t="s">
        <v>84</v>
      </c>
      <c r="P11" s="115" t="s">
        <v>84</v>
      </c>
      <c r="Q11" s="115">
        <f>SUM(B11:P11)</f>
        <v>5787</v>
      </c>
      <c r="S11" s="116"/>
    </row>
    <row r="12" spans="1:19" ht="15" customHeight="1">
      <c r="A12" s="117" t="s">
        <v>109</v>
      </c>
      <c r="B12" s="114">
        <v>1971</v>
      </c>
      <c r="C12" s="112">
        <v>3151</v>
      </c>
      <c r="D12" s="246" t="s">
        <v>84</v>
      </c>
      <c r="E12" s="109" t="s">
        <v>84</v>
      </c>
      <c r="F12" s="109" t="s">
        <v>84</v>
      </c>
      <c r="G12" s="113" t="s">
        <v>84</v>
      </c>
      <c r="H12" s="114" t="s">
        <v>84</v>
      </c>
      <c r="I12" s="112" t="s">
        <v>84</v>
      </c>
      <c r="J12" s="246" t="s">
        <v>84</v>
      </c>
      <c r="K12" s="109" t="s">
        <v>84</v>
      </c>
      <c r="L12" s="109" t="s">
        <v>84</v>
      </c>
      <c r="M12" s="109" t="s">
        <v>84</v>
      </c>
      <c r="N12" s="109" t="s">
        <v>84</v>
      </c>
      <c r="O12" s="113">
        <v>12</v>
      </c>
      <c r="P12" s="115" t="s">
        <v>84</v>
      </c>
      <c r="Q12" s="115">
        <f>SUM(B12:P12)</f>
        <v>5134</v>
      </c>
      <c r="S12" s="19"/>
    </row>
    <row r="13" spans="1:19" ht="15" customHeight="1">
      <c r="A13" s="118" t="s">
        <v>121</v>
      </c>
      <c r="B13" s="114" t="s">
        <v>84</v>
      </c>
      <c r="C13" s="112">
        <v>2269</v>
      </c>
      <c r="D13" s="246">
        <v>1029</v>
      </c>
      <c r="E13" s="109" t="s">
        <v>84</v>
      </c>
      <c r="F13" s="109" t="s">
        <v>84</v>
      </c>
      <c r="G13" s="113" t="s">
        <v>84</v>
      </c>
      <c r="H13" s="114" t="s">
        <v>84</v>
      </c>
      <c r="I13" s="112" t="s">
        <v>84</v>
      </c>
      <c r="J13" s="246" t="s">
        <v>84</v>
      </c>
      <c r="K13" s="109">
        <v>130</v>
      </c>
      <c r="L13" s="109" t="s">
        <v>84</v>
      </c>
      <c r="M13" s="109" t="s">
        <v>84</v>
      </c>
      <c r="N13" s="109" t="s">
        <v>84</v>
      </c>
      <c r="O13" s="113" t="s">
        <v>84</v>
      </c>
      <c r="P13" s="115">
        <v>6668</v>
      </c>
      <c r="Q13" s="115">
        <f>SUM(C13:P13)</f>
        <v>10096</v>
      </c>
      <c r="S13" s="19"/>
    </row>
    <row r="14" spans="1:19" ht="15" customHeight="1">
      <c r="A14" s="118" t="s">
        <v>119</v>
      </c>
      <c r="B14" s="114" t="s">
        <v>84</v>
      </c>
      <c r="C14" s="112" t="s">
        <v>84</v>
      </c>
      <c r="D14" s="246">
        <v>5445</v>
      </c>
      <c r="E14" s="109">
        <v>8395</v>
      </c>
      <c r="F14" s="109">
        <v>82</v>
      </c>
      <c r="G14" s="113">
        <v>1922</v>
      </c>
      <c r="H14" s="114" t="s">
        <v>84</v>
      </c>
      <c r="I14" s="112" t="s">
        <v>84</v>
      </c>
      <c r="J14" s="246" t="s">
        <v>84</v>
      </c>
      <c r="K14" s="109">
        <v>56</v>
      </c>
      <c r="L14" s="109" t="s">
        <v>84</v>
      </c>
      <c r="M14" s="109" t="s">
        <v>84</v>
      </c>
      <c r="N14" s="109" t="s">
        <v>84</v>
      </c>
      <c r="O14" s="113" t="s">
        <v>84</v>
      </c>
      <c r="P14" s="115">
        <v>15295</v>
      </c>
      <c r="Q14" s="115">
        <f>SUM(D14:P14)</f>
        <v>31195</v>
      </c>
      <c r="S14" s="119"/>
    </row>
    <row r="15" spans="1:19" ht="15" customHeight="1">
      <c r="A15" s="117" t="s">
        <v>125</v>
      </c>
      <c r="B15" s="114" t="s">
        <v>84</v>
      </c>
      <c r="C15" s="112">
        <v>79</v>
      </c>
      <c r="D15" s="246" t="s">
        <v>84</v>
      </c>
      <c r="E15" s="109" t="s">
        <v>84</v>
      </c>
      <c r="F15" s="109" t="s">
        <v>84</v>
      </c>
      <c r="G15" s="113" t="s">
        <v>84</v>
      </c>
      <c r="H15" s="114" t="s">
        <v>84</v>
      </c>
      <c r="I15" s="112" t="s">
        <v>84</v>
      </c>
      <c r="J15" s="246" t="s">
        <v>84</v>
      </c>
      <c r="K15" s="109" t="s">
        <v>84</v>
      </c>
      <c r="L15" s="109" t="s">
        <v>84</v>
      </c>
      <c r="M15" s="109" t="s">
        <v>84</v>
      </c>
      <c r="N15" s="109" t="s">
        <v>84</v>
      </c>
      <c r="O15" s="113" t="s">
        <v>84</v>
      </c>
      <c r="P15" s="115">
        <v>1843</v>
      </c>
      <c r="Q15" s="115">
        <f>SUM(C15:P15)</f>
        <v>1922</v>
      </c>
      <c r="S15" s="119"/>
    </row>
    <row r="16" spans="1:19" ht="15" customHeight="1">
      <c r="A16" s="117" t="s">
        <v>115</v>
      </c>
      <c r="B16" s="114" t="s">
        <v>84</v>
      </c>
      <c r="C16" s="112">
        <v>1047</v>
      </c>
      <c r="D16" s="246" t="s">
        <v>84</v>
      </c>
      <c r="E16" s="109" t="s">
        <v>84</v>
      </c>
      <c r="F16" s="109" t="s">
        <v>84</v>
      </c>
      <c r="G16" s="113" t="s">
        <v>84</v>
      </c>
      <c r="H16" s="114" t="s">
        <v>84</v>
      </c>
      <c r="I16" s="112" t="s">
        <v>84</v>
      </c>
      <c r="J16" s="246" t="s">
        <v>84</v>
      </c>
      <c r="K16" s="109" t="s">
        <v>84</v>
      </c>
      <c r="L16" s="109" t="s">
        <v>84</v>
      </c>
      <c r="M16" s="109" t="s">
        <v>84</v>
      </c>
      <c r="N16" s="109" t="s">
        <v>84</v>
      </c>
      <c r="O16" s="113" t="s">
        <v>84</v>
      </c>
      <c r="P16" s="115" t="s">
        <v>84</v>
      </c>
      <c r="Q16" s="115">
        <f>SUM(C16:P16)</f>
        <v>1047</v>
      </c>
      <c r="S16" s="119"/>
    </row>
    <row r="17" spans="1:19" ht="15" customHeight="1">
      <c r="A17" s="118" t="s">
        <v>127</v>
      </c>
      <c r="B17" s="114" t="s">
        <v>84</v>
      </c>
      <c r="C17" s="112" t="s">
        <v>84</v>
      </c>
      <c r="D17" s="246" t="s">
        <v>84</v>
      </c>
      <c r="E17" s="109" t="s">
        <v>84</v>
      </c>
      <c r="F17" s="109" t="s">
        <v>84</v>
      </c>
      <c r="G17" s="113" t="s">
        <v>84</v>
      </c>
      <c r="H17" s="114" t="s">
        <v>84</v>
      </c>
      <c r="I17" s="112" t="s">
        <v>84</v>
      </c>
      <c r="J17" s="246" t="s">
        <v>84</v>
      </c>
      <c r="K17" s="109" t="s">
        <v>84</v>
      </c>
      <c r="L17" s="109" t="s">
        <v>84</v>
      </c>
      <c r="M17" s="109" t="s">
        <v>84</v>
      </c>
      <c r="N17" s="109" t="s">
        <v>84</v>
      </c>
      <c r="O17" s="113" t="s">
        <v>84</v>
      </c>
      <c r="P17" s="115" t="s">
        <v>84</v>
      </c>
      <c r="Q17" s="115">
        <f>SUM(P17)</f>
        <v>0</v>
      </c>
      <c r="S17" s="19"/>
    </row>
    <row r="18" spans="1:20" ht="15" customHeight="1">
      <c r="A18" s="118" t="s">
        <v>104</v>
      </c>
      <c r="B18" s="114" t="s">
        <v>84</v>
      </c>
      <c r="C18" s="112" t="s">
        <v>84</v>
      </c>
      <c r="D18" s="246">
        <v>215</v>
      </c>
      <c r="E18" s="109" t="s">
        <v>84</v>
      </c>
      <c r="F18" s="109" t="s">
        <v>84</v>
      </c>
      <c r="G18" s="113" t="s">
        <v>84</v>
      </c>
      <c r="H18" s="114">
        <v>1343</v>
      </c>
      <c r="I18" s="112">
        <v>11</v>
      </c>
      <c r="J18" s="246" t="s">
        <v>84</v>
      </c>
      <c r="K18" s="109" t="s">
        <v>84</v>
      </c>
      <c r="L18" s="109" t="s">
        <v>84</v>
      </c>
      <c r="M18" s="109" t="s">
        <v>84</v>
      </c>
      <c r="N18" s="109" t="s">
        <v>84</v>
      </c>
      <c r="O18" s="113">
        <v>462</v>
      </c>
      <c r="P18" s="115" t="s">
        <v>84</v>
      </c>
      <c r="Q18" s="115">
        <f>SUM(D18:P18)</f>
        <v>2031</v>
      </c>
      <c r="S18" s="19"/>
      <c r="T18" s="18"/>
    </row>
    <row r="19" spans="1:19" ht="15" customHeight="1">
      <c r="A19" s="118" t="s">
        <v>116</v>
      </c>
      <c r="B19" s="114">
        <v>4095</v>
      </c>
      <c r="C19" s="112">
        <v>311</v>
      </c>
      <c r="D19" s="246" t="s">
        <v>84</v>
      </c>
      <c r="E19" s="109" t="s">
        <v>84</v>
      </c>
      <c r="F19" s="109" t="s">
        <v>84</v>
      </c>
      <c r="G19" s="113" t="s">
        <v>84</v>
      </c>
      <c r="H19" s="114" t="s">
        <v>84</v>
      </c>
      <c r="I19" s="112" t="s">
        <v>84</v>
      </c>
      <c r="J19" s="246" t="s">
        <v>84</v>
      </c>
      <c r="K19" s="109" t="s">
        <v>84</v>
      </c>
      <c r="L19" s="109" t="s">
        <v>84</v>
      </c>
      <c r="M19" s="109" t="s">
        <v>84</v>
      </c>
      <c r="N19" s="109" t="s">
        <v>84</v>
      </c>
      <c r="O19" s="113" t="s">
        <v>84</v>
      </c>
      <c r="P19" s="115" t="s">
        <v>84</v>
      </c>
      <c r="Q19" s="115">
        <f>SUM(B19:P19)</f>
        <v>4406</v>
      </c>
      <c r="S19" s="116"/>
    </row>
    <row r="20" spans="1:19" ht="15" customHeight="1">
      <c r="A20" s="117" t="s">
        <v>110</v>
      </c>
      <c r="B20" s="114">
        <v>3224</v>
      </c>
      <c r="C20" s="112">
        <v>880</v>
      </c>
      <c r="D20" s="246" t="s">
        <v>84</v>
      </c>
      <c r="E20" s="109" t="s">
        <v>84</v>
      </c>
      <c r="F20" s="109" t="s">
        <v>84</v>
      </c>
      <c r="G20" s="113" t="s">
        <v>84</v>
      </c>
      <c r="H20" s="114" t="s">
        <v>84</v>
      </c>
      <c r="I20" s="112" t="s">
        <v>84</v>
      </c>
      <c r="J20" s="246"/>
      <c r="K20" s="109" t="s">
        <v>84</v>
      </c>
      <c r="L20" s="109" t="s">
        <v>84</v>
      </c>
      <c r="M20" s="109" t="s">
        <v>84</v>
      </c>
      <c r="N20" s="109" t="s">
        <v>84</v>
      </c>
      <c r="O20" s="113">
        <v>127</v>
      </c>
      <c r="P20" s="115" t="s">
        <v>84</v>
      </c>
      <c r="Q20" s="115">
        <f>SUM(B20:P20)</f>
        <v>4231</v>
      </c>
      <c r="S20" s="116"/>
    </row>
    <row r="21" spans="1:17" ht="15" customHeight="1">
      <c r="A21" s="118" t="s">
        <v>118</v>
      </c>
      <c r="B21" s="114" t="s">
        <v>84</v>
      </c>
      <c r="C21" s="112" t="s">
        <v>84</v>
      </c>
      <c r="D21" s="246">
        <v>283</v>
      </c>
      <c r="E21" s="109">
        <v>784</v>
      </c>
      <c r="F21" s="109"/>
      <c r="G21" s="113">
        <v>12</v>
      </c>
      <c r="H21" s="114" t="s">
        <v>84</v>
      </c>
      <c r="I21" s="112" t="s">
        <v>84</v>
      </c>
      <c r="J21" s="246"/>
      <c r="K21" s="109" t="s">
        <v>84</v>
      </c>
      <c r="L21" s="109" t="s">
        <v>84</v>
      </c>
      <c r="M21" s="109" t="s">
        <v>84</v>
      </c>
      <c r="N21" s="109" t="s">
        <v>84</v>
      </c>
      <c r="O21" s="113" t="s">
        <v>84</v>
      </c>
      <c r="P21" s="115">
        <v>976</v>
      </c>
      <c r="Q21" s="115">
        <f>SUM(D21:P21)</f>
        <v>2055</v>
      </c>
    </row>
    <row r="22" spans="1:17" ht="15" customHeight="1">
      <c r="A22" s="120" t="s">
        <v>112</v>
      </c>
      <c r="B22" s="114" t="s">
        <v>84</v>
      </c>
      <c r="C22" s="112">
        <f>2551+169</f>
        <v>2720</v>
      </c>
      <c r="D22" s="246" t="s">
        <v>84</v>
      </c>
      <c r="E22" s="109" t="s">
        <v>84</v>
      </c>
      <c r="F22" s="109" t="s">
        <v>84</v>
      </c>
      <c r="G22" s="113" t="s">
        <v>84</v>
      </c>
      <c r="H22" s="114" t="s">
        <v>84</v>
      </c>
      <c r="I22" s="112" t="s">
        <v>84</v>
      </c>
      <c r="J22" s="246" t="s">
        <v>84</v>
      </c>
      <c r="K22" s="109" t="s">
        <v>84</v>
      </c>
      <c r="L22" s="109" t="s">
        <v>84</v>
      </c>
      <c r="M22" s="109" t="s">
        <v>84</v>
      </c>
      <c r="N22" s="109" t="s">
        <v>84</v>
      </c>
      <c r="O22" s="113" t="s">
        <v>84</v>
      </c>
      <c r="P22" s="115" t="s">
        <v>84</v>
      </c>
      <c r="Q22" s="115">
        <f>SUM(C22:P22)</f>
        <v>2720</v>
      </c>
    </row>
    <row r="23" spans="1:17" ht="15" customHeight="1">
      <c r="A23" s="111" t="s">
        <v>94</v>
      </c>
      <c r="B23" s="114">
        <v>1550</v>
      </c>
      <c r="C23" s="112" t="s">
        <v>84</v>
      </c>
      <c r="D23" s="246">
        <v>159</v>
      </c>
      <c r="E23" s="109">
        <v>1190</v>
      </c>
      <c r="F23" s="109" t="s">
        <v>84</v>
      </c>
      <c r="G23" s="113" t="s">
        <v>84</v>
      </c>
      <c r="H23" s="114">
        <v>69</v>
      </c>
      <c r="I23" s="112">
        <v>29</v>
      </c>
      <c r="J23" s="246">
        <v>25</v>
      </c>
      <c r="K23" s="109">
        <v>49</v>
      </c>
      <c r="L23" s="109" t="s">
        <v>84</v>
      </c>
      <c r="M23" s="109" t="s">
        <v>84</v>
      </c>
      <c r="N23" s="109" t="s">
        <v>84</v>
      </c>
      <c r="O23" s="113" t="s">
        <v>84</v>
      </c>
      <c r="P23" s="115" t="s">
        <v>84</v>
      </c>
      <c r="Q23" s="115">
        <f>SUM(B23:P23)</f>
        <v>3071</v>
      </c>
    </row>
    <row r="24" spans="1:17" ht="15" customHeight="1">
      <c r="A24" s="121" t="s">
        <v>99</v>
      </c>
      <c r="B24" s="114">
        <v>1376</v>
      </c>
      <c r="C24" s="112" t="s">
        <v>84</v>
      </c>
      <c r="D24" s="246" t="s">
        <v>84</v>
      </c>
      <c r="E24" s="109" t="s">
        <v>84</v>
      </c>
      <c r="F24" s="109" t="s">
        <v>84</v>
      </c>
      <c r="G24" s="113" t="s">
        <v>84</v>
      </c>
      <c r="H24" s="114" t="s">
        <v>84</v>
      </c>
      <c r="I24" s="112" t="s">
        <v>84</v>
      </c>
      <c r="J24" s="246" t="s">
        <v>84</v>
      </c>
      <c r="K24" s="109" t="s">
        <v>84</v>
      </c>
      <c r="L24" s="109" t="s">
        <v>84</v>
      </c>
      <c r="M24" s="109" t="s">
        <v>84</v>
      </c>
      <c r="N24" s="109" t="s">
        <v>84</v>
      </c>
      <c r="O24" s="113" t="s">
        <v>84</v>
      </c>
      <c r="P24" s="115" t="s">
        <v>84</v>
      </c>
      <c r="Q24" s="115">
        <f>SUM(B24:P24)</f>
        <v>1376</v>
      </c>
    </row>
    <row r="25" spans="1:17" ht="15" customHeight="1">
      <c r="A25" s="111" t="s">
        <v>91</v>
      </c>
      <c r="B25" s="114">
        <v>1367</v>
      </c>
      <c r="C25" s="112" t="s">
        <v>84</v>
      </c>
      <c r="D25" s="246">
        <v>251</v>
      </c>
      <c r="E25" s="109">
        <v>835</v>
      </c>
      <c r="F25" s="109" t="s">
        <v>84</v>
      </c>
      <c r="G25" s="113" t="s">
        <v>84</v>
      </c>
      <c r="H25" s="114">
        <v>303</v>
      </c>
      <c r="I25" s="112">
        <v>128</v>
      </c>
      <c r="J25" s="246" t="s">
        <v>84</v>
      </c>
      <c r="K25" s="109" t="s">
        <v>84</v>
      </c>
      <c r="L25" s="109" t="s">
        <v>84</v>
      </c>
      <c r="M25" s="109" t="s">
        <v>84</v>
      </c>
      <c r="N25" s="109" t="s">
        <v>84</v>
      </c>
      <c r="O25" s="113"/>
      <c r="P25" s="115" t="s">
        <v>84</v>
      </c>
      <c r="Q25" s="115">
        <f>SUM(B25:P25)</f>
        <v>2884</v>
      </c>
    </row>
    <row r="26" spans="1:17" ht="15" customHeight="1">
      <c r="A26" s="118" t="s">
        <v>122</v>
      </c>
      <c r="B26" s="114" t="s">
        <v>84</v>
      </c>
      <c r="C26" s="112" t="s">
        <v>84</v>
      </c>
      <c r="D26" s="246">
        <v>2270</v>
      </c>
      <c r="E26" s="109">
        <v>1748</v>
      </c>
      <c r="F26" s="109" t="s">
        <v>84</v>
      </c>
      <c r="G26" s="113">
        <v>11</v>
      </c>
      <c r="H26" s="114" t="s">
        <v>84</v>
      </c>
      <c r="I26" s="112" t="s">
        <v>84</v>
      </c>
      <c r="J26" s="246" t="s">
        <v>84</v>
      </c>
      <c r="K26" s="109">
        <v>408</v>
      </c>
      <c r="L26" s="109" t="s">
        <v>84</v>
      </c>
      <c r="M26" s="109" t="s">
        <v>84</v>
      </c>
      <c r="N26" s="109">
        <v>90</v>
      </c>
      <c r="O26" s="113" t="s">
        <v>84</v>
      </c>
      <c r="P26" s="115">
        <v>21629</v>
      </c>
      <c r="Q26" s="115">
        <f>SUM(D26:P26)</f>
        <v>26156</v>
      </c>
    </row>
    <row r="27" spans="1:17" ht="15" customHeight="1">
      <c r="A27" s="111" t="s">
        <v>93</v>
      </c>
      <c r="B27" s="114">
        <v>1104</v>
      </c>
      <c r="C27" s="112" t="s">
        <v>84</v>
      </c>
      <c r="D27" s="246" t="s">
        <v>84</v>
      </c>
      <c r="E27" s="109" t="s">
        <v>84</v>
      </c>
      <c r="F27" s="109" t="s">
        <v>84</v>
      </c>
      <c r="G27" s="113" t="s">
        <v>84</v>
      </c>
      <c r="H27" s="114" t="s">
        <v>84</v>
      </c>
      <c r="I27" s="112" t="s">
        <v>84</v>
      </c>
      <c r="J27" s="246" t="s">
        <v>84</v>
      </c>
      <c r="K27" s="109" t="s">
        <v>84</v>
      </c>
      <c r="L27" s="109" t="s">
        <v>84</v>
      </c>
      <c r="M27" s="109" t="s">
        <v>84</v>
      </c>
      <c r="N27" s="109" t="s">
        <v>84</v>
      </c>
      <c r="O27" s="113" t="s">
        <v>84</v>
      </c>
      <c r="P27" s="115" t="s">
        <v>84</v>
      </c>
      <c r="Q27" s="115">
        <f>SUM(B27:P27)</f>
        <v>1104</v>
      </c>
    </row>
    <row r="28" spans="1:17" ht="15" customHeight="1">
      <c r="A28" s="118" t="s">
        <v>96</v>
      </c>
      <c r="B28" s="114">
        <v>1493</v>
      </c>
      <c r="C28" s="112">
        <v>2801</v>
      </c>
      <c r="D28" s="246" t="s">
        <v>84</v>
      </c>
      <c r="E28" s="109" t="s">
        <v>84</v>
      </c>
      <c r="F28" s="109" t="s">
        <v>84</v>
      </c>
      <c r="G28" s="113" t="s">
        <v>84</v>
      </c>
      <c r="H28" s="114"/>
      <c r="I28" s="112" t="s">
        <v>84</v>
      </c>
      <c r="J28" s="246" t="s">
        <v>84</v>
      </c>
      <c r="K28" s="109" t="s">
        <v>84</v>
      </c>
      <c r="L28" s="109" t="s">
        <v>84</v>
      </c>
      <c r="M28" s="109" t="s">
        <v>84</v>
      </c>
      <c r="N28" s="109" t="s">
        <v>84</v>
      </c>
      <c r="O28" s="113" t="s">
        <v>84</v>
      </c>
      <c r="P28" s="115" t="s">
        <v>84</v>
      </c>
      <c r="Q28" s="115">
        <f>SUM(B28:P28)</f>
        <v>4294</v>
      </c>
    </row>
    <row r="29" spans="1:17" ht="15" customHeight="1">
      <c r="A29" s="120" t="s">
        <v>114</v>
      </c>
      <c r="B29" s="114" t="s">
        <v>84</v>
      </c>
      <c r="C29" s="112">
        <v>878</v>
      </c>
      <c r="D29" s="246" t="s">
        <v>84</v>
      </c>
      <c r="E29" s="109" t="s">
        <v>84</v>
      </c>
      <c r="F29" s="109" t="s">
        <v>84</v>
      </c>
      <c r="G29" s="113" t="s">
        <v>84</v>
      </c>
      <c r="H29" s="114" t="s">
        <v>84</v>
      </c>
      <c r="I29" s="112" t="s">
        <v>84</v>
      </c>
      <c r="J29" s="246" t="s">
        <v>84</v>
      </c>
      <c r="K29" s="109" t="s">
        <v>84</v>
      </c>
      <c r="L29" s="109" t="s">
        <v>84</v>
      </c>
      <c r="M29" s="109" t="s">
        <v>84</v>
      </c>
      <c r="N29" s="109" t="s">
        <v>84</v>
      </c>
      <c r="O29" s="113" t="s">
        <v>84</v>
      </c>
      <c r="P29" s="115" t="s">
        <v>84</v>
      </c>
      <c r="Q29" s="115">
        <f>SUM(C29:P29)</f>
        <v>878</v>
      </c>
    </row>
    <row r="30" spans="1:17" ht="15" customHeight="1">
      <c r="A30" s="121" t="s">
        <v>100</v>
      </c>
      <c r="B30" s="114">
        <v>1061</v>
      </c>
      <c r="C30" s="112">
        <v>638</v>
      </c>
      <c r="D30" s="246" t="s">
        <v>84</v>
      </c>
      <c r="E30" s="109" t="s">
        <v>84</v>
      </c>
      <c r="F30" s="109" t="s">
        <v>84</v>
      </c>
      <c r="G30" s="113" t="s">
        <v>84</v>
      </c>
      <c r="H30" s="114" t="s">
        <v>84</v>
      </c>
      <c r="I30" s="112" t="s">
        <v>84</v>
      </c>
      <c r="J30" s="246" t="s">
        <v>84</v>
      </c>
      <c r="K30" s="109" t="s">
        <v>84</v>
      </c>
      <c r="L30" s="109" t="s">
        <v>84</v>
      </c>
      <c r="M30" s="109" t="s">
        <v>84</v>
      </c>
      <c r="N30" s="109" t="s">
        <v>84</v>
      </c>
      <c r="O30" s="113" t="s">
        <v>84</v>
      </c>
      <c r="P30" s="115" t="s">
        <v>84</v>
      </c>
      <c r="Q30" s="115">
        <f>SUM(B30:P30)</f>
        <v>1699</v>
      </c>
    </row>
    <row r="31" spans="1:17" ht="15" customHeight="1">
      <c r="A31" s="117" t="s">
        <v>98</v>
      </c>
      <c r="B31" s="114">
        <v>1235</v>
      </c>
      <c r="C31" s="112" t="s">
        <v>84</v>
      </c>
      <c r="D31" s="246" t="s">
        <v>84</v>
      </c>
      <c r="E31" s="109" t="s">
        <v>84</v>
      </c>
      <c r="F31" s="109" t="s">
        <v>84</v>
      </c>
      <c r="G31" s="113" t="s">
        <v>84</v>
      </c>
      <c r="H31" s="114" t="s">
        <v>84</v>
      </c>
      <c r="I31" s="112" t="s">
        <v>84</v>
      </c>
      <c r="J31" s="246" t="s">
        <v>84</v>
      </c>
      <c r="K31" s="109" t="s">
        <v>84</v>
      </c>
      <c r="L31" s="109" t="s">
        <v>84</v>
      </c>
      <c r="M31" s="109" t="s">
        <v>84</v>
      </c>
      <c r="N31" s="109" t="s">
        <v>84</v>
      </c>
      <c r="O31" s="113" t="s">
        <v>84</v>
      </c>
      <c r="P31" s="115" t="s">
        <v>84</v>
      </c>
      <c r="Q31" s="115">
        <f>SUM(B31:P31)</f>
        <v>1235</v>
      </c>
    </row>
    <row r="32" spans="1:17" ht="15" customHeight="1">
      <c r="A32" s="117" t="s">
        <v>68</v>
      </c>
      <c r="B32" s="114">
        <v>1437</v>
      </c>
      <c r="C32" s="112" t="s">
        <v>84</v>
      </c>
      <c r="D32" s="246">
        <v>25</v>
      </c>
      <c r="E32" s="109" t="s">
        <v>84</v>
      </c>
      <c r="F32" s="109" t="s">
        <v>84</v>
      </c>
      <c r="G32" s="113" t="s">
        <v>84</v>
      </c>
      <c r="H32" s="114">
        <v>12</v>
      </c>
      <c r="I32" s="112" t="s">
        <v>84</v>
      </c>
      <c r="J32" s="246" t="s">
        <v>84</v>
      </c>
      <c r="K32" s="109" t="s">
        <v>84</v>
      </c>
      <c r="L32" s="109" t="s">
        <v>84</v>
      </c>
      <c r="M32" s="109" t="s">
        <v>84</v>
      </c>
      <c r="N32" s="109" t="s">
        <v>84</v>
      </c>
      <c r="O32" s="113">
        <v>128</v>
      </c>
      <c r="P32" s="115" t="s">
        <v>84</v>
      </c>
      <c r="Q32" s="115">
        <f>SUM(B32:P32)</f>
        <v>1602</v>
      </c>
    </row>
    <row r="33" spans="1:17" ht="15" customHeight="1">
      <c r="A33" s="121" t="s">
        <v>101</v>
      </c>
      <c r="B33" s="114">
        <v>4543</v>
      </c>
      <c r="C33" s="112">
        <v>1125</v>
      </c>
      <c r="D33" s="246">
        <v>2130</v>
      </c>
      <c r="E33" s="109">
        <v>16250</v>
      </c>
      <c r="F33" s="109">
        <v>144</v>
      </c>
      <c r="G33" s="113">
        <v>1</v>
      </c>
      <c r="H33" s="114">
        <v>952</v>
      </c>
      <c r="I33" s="112">
        <v>124</v>
      </c>
      <c r="J33" s="246">
        <v>585</v>
      </c>
      <c r="K33" s="109">
        <v>390</v>
      </c>
      <c r="L33" s="109" t="s">
        <v>84</v>
      </c>
      <c r="M33" s="109" t="s">
        <v>84</v>
      </c>
      <c r="N33" s="109">
        <v>276</v>
      </c>
      <c r="O33" s="113">
        <v>989</v>
      </c>
      <c r="P33" s="115">
        <v>182</v>
      </c>
      <c r="Q33" s="115">
        <f>SUM(B33:P33)</f>
        <v>27691</v>
      </c>
    </row>
    <row r="34" spans="1:17" ht="15" customHeight="1">
      <c r="A34" s="120" t="s">
        <v>113</v>
      </c>
      <c r="B34" s="114">
        <v>1564</v>
      </c>
      <c r="C34" s="112">
        <v>405</v>
      </c>
      <c r="D34" s="246" t="s">
        <v>84</v>
      </c>
      <c r="E34" s="109" t="s">
        <v>84</v>
      </c>
      <c r="F34" s="109" t="s">
        <v>84</v>
      </c>
      <c r="G34" s="113" t="s">
        <v>84</v>
      </c>
      <c r="H34" s="114" t="s">
        <v>84</v>
      </c>
      <c r="I34" s="112" t="s">
        <v>84</v>
      </c>
      <c r="J34" s="246" t="s">
        <v>84</v>
      </c>
      <c r="K34" s="109" t="s">
        <v>84</v>
      </c>
      <c r="L34" s="109" t="s">
        <v>84</v>
      </c>
      <c r="M34" s="109" t="s">
        <v>84</v>
      </c>
      <c r="N34" s="109" t="s">
        <v>84</v>
      </c>
      <c r="O34" s="113">
        <v>89</v>
      </c>
      <c r="P34" s="115" t="s">
        <v>84</v>
      </c>
      <c r="Q34" s="115">
        <f>SUM(B34:P34)</f>
        <v>2058</v>
      </c>
    </row>
    <row r="35" spans="1:17" ht="15" customHeight="1">
      <c r="A35" s="117" t="s">
        <v>124</v>
      </c>
      <c r="B35" s="114" t="s">
        <v>84</v>
      </c>
      <c r="C35" s="112" t="s">
        <v>84</v>
      </c>
      <c r="D35" s="246" t="s">
        <v>84</v>
      </c>
      <c r="E35" s="109" t="s">
        <v>84</v>
      </c>
      <c r="F35" s="109" t="s">
        <v>84</v>
      </c>
      <c r="G35" s="113" t="s">
        <v>84</v>
      </c>
      <c r="H35" s="114" t="s">
        <v>84</v>
      </c>
      <c r="I35" s="112" t="s">
        <v>84</v>
      </c>
      <c r="J35" s="246" t="s">
        <v>84</v>
      </c>
      <c r="K35" s="109" t="s">
        <v>84</v>
      </c>
      <c r="L35" s="109">
        <v>1516</v>
      </c>
      <c r="M35" s="109" t="s">
        <v>84</v>
      </c>
      <c r="N35" s="109" t="s">
        <v>84</v>
      </c>
      <c r="O35" s="113" t="s">
        <v>84</v>
      </c>
      <c r="P35" s="115">
        <v>2359</v>
      </c>
      <c r="Q35" s="115">
        <f>SUM(L35:P35)</f>
        <v>3875</v>
      </c>
    </row>
    <row r="36" spans="1:17" ht="15" customHeight="1">
      <c r="A36" s="117" t="s">
        <v>20</v>
      </c>
      <c r="B36" s="114" t="s">
        <v>84</v>
      </c>
      <c r="C36" s="112" t="s">
        <v>84</v>
      </c>
      <c r="D36" s="246">
        <v>10</v>
      </c>
      <c r="E36" s="109">
        <v>306</v>
      </c>
      <c r="F36" s="109" t="s">
        <v>84</v>
      </c>
      <c r="G36" s="113" t="s">
        <v>84</v>
      </c>
      <c r="H36" s="114" t="s">
        <v>84</v>
      </c>
      <c r="I36" s="112" t="s">
        <v>84</v>
      </c>
      <c r="J36" s="246" t="s">
        <v>84</v>
      </c>
      <c r="K36" s="109">
        <v>115</v>
      </c>
      <c r="L36" s="109">
        <v>1807</v>
      </c>
      <c r="M36" s="109">
        <v>86</v>
      </c>
      <c r="N36" s="109" t="s">
        <v>84</v>
      </c>
      <c r="O36" s="113" t="s">
        <v>84</v>
      </c>
      <c r="P36" s="115">
        <v>4536</v>
      </c>
      <c r="Q36" s="115">
        <f>SUM(D36:P36)</f>
        <v>6860</v>
      </c>
    </row>
    <row r="37" spans="1:17" ht="15" customHeight="1">
      <c r="A37" s="117" t="s">
        <v>108</v>
      </c>
      <c r="B37" s="114">
        <v>4396</v>
      </c>
      <c r="C37" s="112">
        <v>988</v>
      </c>
      <c r="D37" s="246" t="s">
        <v>84</v>
      </c>
      <c r="E37" s="109" t="s">
        <v>84</v>
      </c>
      <c r="F37" s="109" t="s">
        <v>84</v>
      </c>
      <c r="G37" s="113" t="s">
        <v>84</v>
      </c>
      <c r="H37" s="114" t="s">
        <v>84</v>
      </c>
      <c r="I37" s="112" t="s">
        <v>84</v>
      </c>
      <c r="J37" s="246" t="s">
        <v>84</v>
      </c>
      <c r="K37" s="109" t="s">
        <v>84</v>
      </c>
      <c r="L37" s="109" t="s">
        <v>84</v>
      </c>
      <c r="M37" s="109" t="s">
        <v>84</v>
      </c>
      <c r="N37" s="109" t="s">
        <v>84</v>
      </c>
      <c r="O37" s="113" t="s">
        <v>84</v>
      </c>
      <c r="P37" s="115" t="s">
        <v>84</v>
      </c>
      <c r="Q37" s="115">
        <f>SUM(B37:P37)</f>
        <v>5384</v>
      </c>
    </row>
    <row r="38" spans="1:17" ht="15" customHeight="1">
      <c r="A38" s="117" t="s">
        <v>97</v>
      </c>
      <c r="B38" s="114">
        <v>2072</v>
      </c>
      <c r="C38" s="112">
        <v>821</v>
      </c>
      <c r="D38" s="246" t="s">
        <v>84</v>
      </c>
      <c r="E38" s="109" t="s">
        <v>84</v>
      </c>
      <c r="F38" s="109" t="s">
        <v>84</v>
      </c>
      <c r="G38" s="113" t="s">
        <v>84</v>
      </c>
      <c r="H38" s="114" t="s">
        <v>84</v>
      </c>
      <c r="I38" s="112" t="s">
        <v>84</v>
      </c>
      <c r="J38" s="246" t="s">
        <v>84</v>
      </c>
      <c r="K38" s="109" t="s">
        <v>84</v>
      </c>
      <c r="L38" s="109" t="s">
        <v>84</v>
      </c>
      <c r="M38" s="109" t="s">
        <v>84</v>
      </c>
      <c r="N38" s="109" t="s">
        <v>84</v>
      </c>
      <c r="O38" s="113" t="s">
        <v>84</v>
      </c>
      <c r="P38" s="115" t="s">
        <v>84</v>
      </c>
      <c r="Q38" s="115">
        <f>SUM(B38:P38)</f>
        <v>2893</v>
      </c>
    </row>
    <row r="39" spans="1:17" ht="15" customHeight="1">
      <c r="A39" s="118" t="s">
        <v>123</v>
      </c>
      <c r="B39" s="114" t="s">
        <v>84</v>
      </c>
      <c r="C39" s="112" t="s">
        <v>84</v>
      </c>
      <c r="D39" s="246" t="s">
        <v>84</v>
      </c>
      <c r="E39" s="109" t="s">
        <v>84</v>
      </c>
      <c r="F39" s="109" t="s">
        <v>84</v>
      </c>
      <c r="G39" s="113" t="s">
        <v>84</v>
      </c>
      <c r="H39" s="114" t="s">
        <v>84</v>
      </c>
      <c r="I39" s="112" t="s">
        <v>84</v>
      </c>
      <c r="J39" s="246" t="s">
        <v>84</v>
      </c>
      <c r="K39" s="109" t="s">
        <v>84</v>
      </c>
      <c r="L39" s="109" t="s">
        <v>84</v>
      </c>
      <c r="M39" s="109" t="s">
        <v>84</v>
      </c>
      <c r="N39" s="109" t="s">
        <v>84</v>
      </c>
      <c r="O39" s="113">
        <v>77</v>
      </c>
      <c r="P39" s="115" t="s">
        <v>84</v>
      </c>
      <c r="Q39" s="115">
        <f>SUM(O39:P39)</f>
        <v>77</v>
      </c>
    </row>
    <row r="40" spans="1:17" ht="15" customHeight="1">
      <c r="A40" s="118" t="s">
        <v>103</v>
      </c>
      <c r="B40" s="114">
        <v>20191</v>
      </c>
      <c r="C40" s="112">
        <v>2193</v>
      </c>
      <c r="D40" s="246" t="s">
        <v>84</v>
      </c>
      <c r="E40" s="109" t="s">
        <v>84</v>
      </c>
      <c r="F40" s="109" t="s">
        <v>84</v>
      </c>
      <c r="G40" s="113" t="s">
        <v>84</v>
      </c>
      <c r="H40" s="114" t="s">
        <v>84</v>
      </c>
      <c r="I40" s="112" t="s">
        <v>84</v>
      </c>
      <c r="J40" s="246" t="s">
        <v>84</v>
      </c>
      <c r="K40" s="109" t="s">
        <v>84</v>
      </c>
      <c r="L40" s="109" t="s">
        <v>84</v>
      </c>
      <c r="M40" s="109" t="s">
        <v>84</v>
      </c>
      <c r="N40" s="109" t="s">
        <v>84</v>
      </c>
      <c r="O40" s="113">
        <v>184</v>
      </c>
      <c r="P40" s="115" t="s">
        <v>84</v>
      </c>
      <c r="Q40" s="115">
        <f>SUM(B40:P40)</f>
        <v>22568</v>
      </c>
    </row>
    <row r="41" spans="1:17" ht="15" customHeight="1">
      <c r="A41" s="118" t="s">
        <v>128</v>
      </c>
      <c r="B41" s="114" t="s">
        <v>84</v>
      </c>
      <c r="C41" s="112"/>
      <c r="D41" s="246" t="s">
        <v>84</v>
      </c>
      <c r="E41" s="109" t="s">
        <v>84</v>
      </c>
      <c r="F41" s="109" t="s">
        <v>84</v>
      </c>
      <c r="G41" s="113" t="s">
        <v>84</v>
      </c>
      <c r="H41" s="114" t="s">
        <v>84</v>
      </c>
      <c r="I41" s="112" t="s">
        <v>84</v>
      </c>
      <c r="J41" s="246" t="s">
        <v>84</v>
      </c>
      <c r="K41" s="109" t="s">
        <v>84</v>
      </c>
      <c r="L41" s="109" t="s">
        <v>84</v>
      </c>
      <c r="M41" s="109" t="s">
        <v>84</v>
      </c>
      <c r="N41" s="109" t="s">
        <v>84</v>
      </c>
      <c r="O41" s="113" t="s">
        <v>84</v>
      </c>
      <c r="P41" s="115" t="s">
        <v>84</v>
      </c>
      <c r="Q41" s="115">
        <f>SUM(P41)</f>
        <v>0</v>
      </c>
    </row>
    <row r="42" spans="1:17" ht="15" customHeight="1">
      <c r="A42" s="117" t="s">
        <v>105</v>
      </c>
      <c r="B42" s="114">
        <v>2388</v>
      </c>
      <c r="C42" s="112">
        <v>115</v>
      </c>
      <c r="D42" s="246" t="s">
        <v>84</v>
      </c>
      <c r="E42" s="109" t="s">
        <v>84</v>
      </c>
      <c r="F42" s="109" t="s">
        <v>84</v>
      </c>
      <c r="G42" s="113" t="s">
        <v>84</v>
      </c>
      <c r="H42" s="114" t="s">
        <v>84</v>
      </c>
      <c r="I42" s="112" t="s">
        <v>84</v>
      </c>
      <c r="J42" s="246" t="s">
        <v>84</v>
      </c>
      <c r="K42" s="109" t="s">
        <v>84</v>
      </c>
      <c r="L42" s="109" t="s">
        <v>84</v>
      </c>
      <c r="M42" s="109" t="s">
        <v>84</v>
      </c>
      <c r="N42" s="109" t="s">
        <v>84</v>
      </c>
      <c r="O42" s="113" t="s">
        <v>84</v>
      </c>
      <c r="P42" s="115" t="s">
        <v>84</v>
      </c>
      <c r="Q42" s="115">
        <f>SUM(B42:P42)</f>
        <v>2503</v>
      </c>
    </row>
    <row r="43" spans="1:17" ht="15" customHeight="1">
      <c r="A43" s="118" t="s">
        <v>88</v>
      </c>
      <c r="B43" s="114">
        <v>2500</v>
      </c>
      <c r="C43" s="112">
        <v>238</v>
      </c>
      <c r="D43" s="246" t="s">
        <v>84</v>
      </c>
      <c r="E43" s="109" t="s">
        <v>84</v>
      </c>
      <c r="F43" s="109" t="s">
        <v>84</v>
      </c>
      <c r="G43" s="113" t="s">
        <v>84</v>
      </c>
      <c r="H43" s="114" t="s">
        <v>84</v>
      </c>
      <c r="I43" s="112" t="s">
        <v>84</v>
      </c>
      <c r="J43" s="246" t="s">
        <v>84</v>
      </c>
      <c r="K43" s="109" t="s">
        <v>84</v>
      </c>
      <c r="L43" s="109" t="s">
        <v>84</v>
      </c>
      <c r="M43" s="109" t="s">
        <v>84</v>
      </c>
      <c r="N43" s="109" t="s">
        <v>84</v>
      </c>
      <c r="O43" s="113">
        <v>1863</v>
      </c>
      <c r="P43" s="115" t="s">
        <v>84</v>
      </c>
      <c r="Q43" s="115">
        <f>SUM(B43:P43)</f>
        <v>4601</v>
      </c>
    </row>
    <row r="44" spans="1:17" ht="15" customHeight="1">
      <c r="A44" s="117" t="s">
        <v>117</v>
      </c>
      <c r="B44" s="114">
        <v>4806</v>
      </c>
      <c r="C44" s="112">
        <v>918</v>
      </c>
      <c r="D44" s="246">
        <v>1671</v>
      </c>
      <c r="E44" s="109">
        <v>1019</v>
      </c>
      <c r="F44" s="109" t="s">
        <v>84</v>
      </c>
      <c r="G44" s="113" t="s">
        <v>84</v>
      </c>
      <c r="H44" s="114">
        <v>1569</v>
      </c>
      <c r="I44" s="112" t="s">
        <v>84</v>
      </c>
      <c r="J44" s="246">
        <v>151</v>
      </c>
      <c r="K44" s="109" t="s">
        <v>84</v>
      </c>
      <c r="L44" s="109" t="s">
        <v>84</v>
      </c>
      <c r="M44" s="109" t="s">
        <v>84</v>
      </c>
      <c r="N44" s="109" t="s">
        <v>84</v>
      </c>
      <c r="O44" s="113">
        <v>382</v>
      </c>
      <c r="P44" s="115" t="s">
        <v>84</v>
      </c>
      <c r="Q44" s="115">
        <f>SUM(B44:P44)</f>
        <v>10516</v>
      </c>
    </row>
    <row r="45" spans="1:17" ht="15" customHeight="1">
      <c r="A45" s="120" t="s">
        <v>89</v>
      </c>
      <c r="B45" s="114">
        <v>1146</v>
      </c>
      <c r="C45" s="112">
        <v>860</v>
      </c>
      <c r="D45" s="246" t="s">
        <v>84</v>
      </c>
      <c r="E45" s="109" t="s">
        <v>84</v>
      </c>
      <c r="F45" s="109" t="s">
        <v>84</v>
      </c>
      <c r="G45" s="113" t="s">
        <v>84</v>
      </c>
      <c r="H45" s="114" t="s">
        <v>84</v>
      </c>
      <c r="I45" s="112" t="s">
        <v>84</v>
      </c>
      <c r="J45" s="246" t="s">
        <v>84</v>
      </c>
      <c r="K45" s="109" t="s">
        <v>84</v>
      </c>
      <c r="L45" s="109" t="s">
        <v>84</v>
      </c>
      <c r="M45" s="109" t="s">
        <v>84</v>
      </c>
      <c r="N45" s="109" t="s">
        <v>84</v>
      </c>
      <c r="O45" s="113">
        <v>64</v>
      </c>
      <c r="P45" s="115" t="s">
        <v>84</v>
      </c>
      <c r="Q45" s="115">
        <f>SUM(B45:P45)</f>
        <v>2070</v>
      </c>
    </row>
    <row r="46" spans="1:17" ht="15" customHeight="1">
      <c r="A46" s="120" t="s">
        <v>163</v>
      </c>
      <c r="B46" s="114" t="s">
        <v>84</v>
      </c>
      <c r="C46" s="112" t="s">
        <v>84</v>
      </c>
      <c r="D46" s="246" t="s">
        <v>84</v>
      </c>
      <c r="E46" s="109" t="s">
        <v>84</v>
      </c>
      <c r="F46" s="109" t="s">
        <v>84</v>
      </c>
      <c r="G46" s="113" t="s">
        <v>84</v>
      </c>
      <c r="H46" s="114" t="s">
        <v>84</v>
      </c>
      <c r="I46" s="112" t="s">
        <v>84</v>
      </c>
      <c r="J46" s="246" t="s">
        <v>84</v>
      </c>
      <c r="K46" s="109" t="s">
        <v>84</v>
      </c>
      <c r="L46" s="109" t="s">
        <v>84</v>
      </c>
      <c r="M46" s="109" t="s">
        <v>84</v>
      </c>
      <c r="N46" s="109" t="s">
        <v>84</v>
      </c>
      <c r="O46" s="113" t="s">
        <v>84</v>
      </c>
      <c r="P46" s="115" t="s">
        <v>84</v>
      </c>
      <c r="Q46" s="115">
        <f>SUM(P46)</f>
        <v>0</v>
      </c>
    </row>
    <row r="47" spans="1:17" ht="15" customHeight="1">
      <c r="A47" s="117" t="s">
        <v>126</v>
      </c>
      <c r="B47" s="114" t="s">
        <v>84</v>
      </c>
      <c r="C47" s="112" t="s">
        <v>84</v>
      </c>
      <c r="D47" s="246">
        <v>100</v>
      </c>
      <c r="E47" s="109">
        <v>1006</v>
      </c>
      <c r="F47" s="109" t="s">
        <v>84</v>
      </c>
      <c r="G47" s="113" t="s">
        <v>84</v>
      </c>
      <c r="H47" s="114" t="s">
        <v>84</v>
      </c>
      <c r="I47" s="112" t="s">
        <v>84</v>
      </c>
      <c r="J47" s="246" t="s">
        <v>84</v>
      </c>
      <c r="K47" s="109" t="s">
        <v>84</v>
      </c>
      <c r="L47" s="109" t="s">
        <v>84</v>
      </c>
      <c r="M47" s="109" t="s">
        <v>84</v>
      </c>
      <c r="N47" s="109" t="s">
        <v>84</v>
      </c>
      <c r="O47" s="113" t="s">
        <v>84</v>
      </c>
      <c r="P47" s="115">
        <v>6881</v>
      </c>
      <c r="Q47" s="115">
        <f>SUM(D47:P47)</f>
        <v>7987</v>
      </c>
    </row>
    <row r="48" spans="1:17" ht="15" customHeight="1">
      <c r="A48" s="117" t="s">
        <v>106</v>
      </c>
      <c r="B48" s="114" t="s">
        <v>84</v>
      </c>
      <c r="C48" s="112">
        <v>759</v>
      </c>
      <c r="D48" s="246" t="s">
        <v>84</v>
      </c>
      <c r="E48" s="109" t="s">
        <v>84</v>
      </c>
      <c r="F48" s="109" t="s">
        <v>84</v>
      </c>
      <c r="G48" s="113" t="s">
        <v>84</v>
      </c>
      <c r="H48" s="114" t="s">
        <v>84</v>
      </c>
      <c r="I48" s="112" t="s">
        <v>84</v>
      </c>
      <c r="J48" s="246" t="s">
        <v>84</v>
      </c>
      <c r="K48" s="109" t="s">
        <v>84</v>
      </c>
      <c r="L48" s="109" t="s">
        <v>84</v>
      </c>
      <c r="M48" s="109" t="s">
        <v>84</v>
      </c>
      <c r="N48" s="109" t="s">
        <v>84</v>
      </c>
      <c r="O48" s="113">
        <v>68</v>
      </c>
      <c r="P48" s="115">
        <v>0</v>
      </c>
      <c r="Q48" s="115">
        <f>SUM(C48:P48)</f>
        <v>827</v>
      </c>
    </row>
    <row r="49" spans="1:17" ht="15" customHeight="1">
      <c r="A49" s="111" t="s">
        <v>90</v>
      </c>
      <c r="B49" s="114">
        <v>919</v>
      </c>
      <c r="C49" s="112" t="s">
        <v>84</v>
      </c>
      <c r="D49" s="246">
        <v>126</v>
      </c>
      <c r="E49" s="109">
        <v>695</v>
      </c>
      <c r="F49" s="109" t="s">
        <v>84</v>
      </c>
      <c r="G49" s="113" t="s">
        <v>84</v>
      </c>
      <c r="H49" s="114">
        <v>281</v>
      </c>
      <c r="I49" s="112">
        <v>4</v>
      </c>
      <c r="J49" s="246">
        <v>845</v>
      </c>
      <c r="K49" s="109" t="s">
        <v>84</v>
      </c>
      <c r="L49" s="109" t="s">
        <v>84</v>
      </c>
      <c r="M49" s="109" t="s">
        <v>84</v>
      </c>
      <c r="N49" s="109" t="s">
        <v>84</v>
      </c>
      <c r="O49" s="113">
        <v>29</v>
      </c>
      <c r="P49" s="115" t="s">
        <v>84</v>
      </c>
      <c r="Q49" s="115">
        <f>SUM(B49:P49)</f>
        <v>2899</v>
      </c>
    </row>
    <row r="50" spans="1:17" ht="15" customHeight="1">
      <c r="A50" s="120" t="s">
        <v>92</v>
      </c>
      <c r="B50" s="114">
        <v>671</v>
      </c>
      <c r="C50" s="112">
        <v>434</v>
      </c>
      <c r="D50" s="246" t="s">
        <v>84</v>
      </c>
      <c r="E50" s="109" t="s">
        <v>84</v>
      </c>
      <c r="F50" s="109" t="s">
        <v>84</v>
      </c>
      <c r="G50" s="113" t="s">
        <v>84</v>
      </c>
      <c r="H50" s="114" t="s">
        <v>84</v>
      </c>
      <c r="I50" s="112" t="s">
        <v>84</v>
      </c>
      <c r="J50" s="246" t="s">
        <v>84</v>
      </c>
      <c r="K50" s="109" t="s">
        <v>84</v>
      </c>
      <c r="L50" s="109" t="s">
        <v>84</v>
      </c>
      <c r="M50" s="109" t="s">
        <v>84</v>
      </c>
      <c r="N50" s="109" t="s">
        <v>84</v>
      </c>
      <c r="O50" s="113" t="s">
        <v>84</v>
      </c>
      <c r="P50" s="115" t="s">
        <v>84</v>
      </c>
      <c r="Q50" s="115">
        <f>SUM(B50:P50)</f>
        <v>1105</v>
      </c>
    </row>
    <row r="51" spans="1:17" ht="15" customHeight="1">
      <c r="A51" s="111" t="s">
        <v>95</v>
      </c>
      <c r="B51" s="114">
        <v>759</v>
      </c>
      <c r="C51" s="112"/>
      <c r="D51" s="246">
        <v>296</v>
      </c>
      <c r="E51" s="109">
        <v>2490</v>
      </c>
      <c r="F51" s="109" t="s">
        <v>84</v>
      </c>
      <c r="G51" s="113" t="s">
        <v>84</v>
      </c>
      <c r="H51" s="114" t="s">
        <v>84</v>
      </c>
      <c r="I51" s="112" t="s">
        <v>84</v>
      </c>
      <c r="J51" s="246" t="s">
        <v>84</v>
      </c>
      <c r="K51" s="109" t="s">
        <v>84</v>
      </c>
      <c r="L51" s="109" t="s">
        <v>84</v>
      </c>
      <c r="M51" s="109" t="s">
        <v>84</v>
      </c>
      <c r="N51" s="109" t="s">
        <v>84</v>
      </c>
      <c r="O51" s="113" t="s">
        <v>84</v>
      </c>
      <c r="P51" s="115" t="s">
        <v>84</v>
      </c>
      <c r="Q51" s="115">
        <f>SUM(B51:P51)</f>
        <v>3545</v>
      </c>
    </row>
    <row r="52" spans="1:17" ht="15" customHeight="1">
      <c r="A52" s="117" t="s">
        <v>107</v>
      </c>
      <c r="B52" s="114" t="s">
        <v>84</v>
      </c>
      <c r="C52" s="112">
        <v>2278</v>
      </c>
      <c r="D52" s="246" t="s">
        <v>84</v>
      </c>
      <c r="E52" s="109" t="s">
        <v>84</v>
      </c>
      <c r="F52" s="109" t="s">
        <v>84</v>
      </c>
      <c r="G52" s="113" t="s">
        <v>84</v>
      </c>
      <c r="H52" s="114" t="s">
        <v>84</v>
      </c>
      <c r="I52" s="112" t="s">
        <v>84</v>
      </c>
      <c r="J52" s="246" t="s">
        <v>84</v>
      </c>
      <c r="K52" s="109" t="s">
        <v>84</v>
      </c>
      <c r="L52" s="109" t="s">
        <v>84</v>
      </c>
      <c r="M52" s="109" t="s">
        <v>84</v>
      </c>
      <c r="N52" s="109" t="s">
        <v>84</v>
      </c>
      <c r="O52" s="113" t="s">
        <v>84</v>
      </c>
      <c r="P52" s="115" t="s">
        <v>84</v>
      </c>
      <c r="Q52" s="115">
        <f>SUM(C52:P52)</f>
        <v>2278</v>
      </c>
    </row>
    <row r="53" spans="1:17" ht="15" customHeight="1">
      <c r="A53" s="118" t="s">
        <v>120</v>
      </c>
      <c r="B53" s="114" t="s">
        <v>84</v>
      </c>
      <c r="C53" s="112" t="s">
        <v>84</v>
      </c>
      <c r="D53" s="246">
        <v>20539</v>
      </c>
      <c r="E53" s="109">
        <v>21350</v>
      </c>
      <c r="F53" s="109">
        <v>6411</v>
      </c>
      <c r="G53" s="113">
        <v>2467</v>
      </c>
      <c r="H53" s="114" t="s">
        <v>84</v>
      </c>
      <c r="I53" s="112" t="s">
        <v>84</v>
      </c>
      <c r="J53" s="246">
        <v>1350</v>
      </c>
      <c r="K53" s="109">
        <v>885</v>
      </c>
      <c r="L53" s="109">
        <v>16269</v>
      </c>
      <c r="M53" s="109">
        <v>2705</v>
      </c>
      <c r="N53" s="109">
        <v>116</v>
      </c>
      <c r="O53" s="113">
        <v>284</v>
      </c>
      <c r="P53" s="115">
        <v>30198</v>
      </c>
      <c r="Q53" s="115">
        <f>SUM(D53:P53)</f>
        <v>102574</v>
      </c>
    </row>
    <row r="54" spans="1:17" ht="15" customHeight="1">
      <c r="A54" s="120" t="s">
        <v>111</v>
      </c>
      <c r="B54" s="114" t="s">
        <v>84</v>
      </c>
      <c r="C54" s="112">
        <v>375</v>
      </c>
      <c r="D54" s="246" t="s">
        <v>84</v>
      </c>
      <c r="E54" s="109" t="s">
        <v>84</v>
      </c>
      <c r="F54" s="109" t="s">
        <v>84</v>
      </c>
      <c r="G54" s="113" t="s">
        <v>84</v>
      </c>
      <c r="H54" s="114" t="s">
        <v>84</v>
      </c>
      <c r="I54" s="112" t="s">
        <v>84</v>
      </c>
      <c r="J54" s="246" t="s">
        <v>84</v>
      </c>
      <c r="K54" s="109" t="s">
        <v>84</v>
      </c>
      <c r="L54" s="109" t="s">
        <v>84</v>
      </c>
      <c r="M54" s="109" t="s">
        <v>84</v>
      </c>
      <c r="N54" s="109" t="s">
        <v>84</v>
      </c>
      <c r="O54" s="113" t="s">
        <v>84</v>
      </c>
      <c r="P54" s="115" t="s">
        <v>84</v>
      </c>
      <c r="Q54" s="115">
        <f>SUM(C54:P54)</f>
        <v>375</v>
      </c>
    </row>
    <row r="55" spans="1:17" ht="15" customHeight="1">
      <c r="A55" s="111" t="s">
        <v>87</v>
      </c>
      <c r="B55" s="114">
        <v>740</v>
      </c>
      <c r="C55" s="112" t="s">
        <v>84</v>
      </c>
      <c r="D55" s="246" t="s">
        <v>84</v>
      </c>
      <c r="E55" s="109" t="s">
        <v>84</v>
      </c>
      <c r="F55" s="109" t="s">
        <v>84</v>
      </c>
      <c r="G55" s="113" t="s">
        <v>84</v>
      </c>
      <c r="H55" s="114" t="s">
        <v>84</v>
      </c>
      <c r="I55" s="112" t="s">
        <v>84</v>
      </c>
      <c r="J55" s="246" t="s">
        <v>84</v>
      </c>
      <c r="K55" s="109" t="s">
        <v>84</v>
      </c>
      <c r="L55" s="109" t="s">
        <v>84</v>
      </c>
      <c r="M55" s="109" t="s">
        <v>84</v>
      </c>
      <c r="N55" s="109" t="s">
        <v>84</v>
      </c>
      <c r="O55" s="113" t="s">
        <v>84</v>
      </c>
      <c r="P55" s="115" t="s">
        <v>84</v>
      </c>
      <c r="Q55" s="115">
        <f>SUM(B55:P55)</f>
        <v>740</v>
      </c>
    </row>
    <row r="56" spans="1:17" ht="15" customHeight="1" thickBot="1">
      <c r="A56" s="249" t="s">
        <v>28</v>
      </c>
      <c r="B56" s="122">
        <f>6137+1431+5256</f>
        <v>12824</v>
      </c>
      <c r="C56" s="248">
        <f>6522+3667+1947+948+785+648+518+516+447+397+161+120+1917</f>
        <v>18593</v>
      </c>
      <c r="D56" s="247">
        <f>2234</f>
        <v>2234</v>
      </c>
      <c r="E56" s="123">
        <f>745+1478</f>
        <v>2223</v>
      </c>
      <c r="F56" s="123">
        <v>8</v>
      </c>
      <c r="G56" s="124">
        <v>0</v>
      </c>
      <c r="H56" s="122">
        <v>200</v>
      </c>
      <c r="I56" s="248">
        <v>25</v>
      </c>
      <c r="J56" s="247">
        <v>116</v>
      </c>
      <c r="K56" s="123">
        <v>93</v>
      </c>
      <c r="L56" s="123"/>
      <c r="M56" s="123" t="s">
        <v>84</v>
      </c>
      <c r="N56" s="123" t="s">
        <v>84</v>
      </c>
      <c r="O56" s="124">
        <f>22+8</f>
        <v>30</v>
      </c>
      <c r="P56" s="125">
        <v>6223</v>
      </c>
      <c r="Q56" s="126">
        <f>SUM(B56:P56)</f>
        <v>42569</v>
      </c>
    </row>
    <row r="57" spans="1:17" ht="23.25" customHeight="1" thickBot="1" thickTop="1">
      <c r="A57" s="250" t="s">
        <v>167</v>
      </c>
      <c r="B57" s="251">
        <f aca="true" t="shared" si="0" ref="B57:P57">SUM(B9:B56)</f>
        <v>83762</v>
      </c>
      <c r="C57" s="252">
        <f t="shared" si="0"/>
        <v>46986</v>
      </c>
      <c r="D57" s="251">
        <f t="shared" si="0"/>
        <v>36783</v>
      </c>
      <c r="E57" s="253">
        <f t="shared" si="0"/>
        <v>58291</v>
      </c>
      <c r="F57" s="254">
        <f t="shared" si="0"/>
        <v>6645</v>
      </c>
      <c r="G57" s="252">
        <f t="shared" si="0"/>
        <v>4413</v>
      </c>
      <c r="H57" s="255">
        <f t="shared" si="0"/>
        <v>4729</v>
      </c>
      <c r="I57" s="256">
        <f t="shared" si="0"/>
        <v>321</v>
      </c>
      <c r="J57" s="251">
        <f t="shared" si="0"/>
        <v>3072</v>
      </c>
      <c r="K57" s="253">
        <f t="shared" si="0"/>
        <v>2126</v>
      </c>
      <c r="L57" s="253">
        <f t="shared" si="0"/>
        <v>19592</v>
      </c>
      <c r="M57" s="253">
        <f t="shared" si="0"/>
        <v>2791</v>
      </c>
      <c r="N57" s="253">
        <f>SUM(N9:N56)</f>
        <v>482</v>
      </c>
      <c r="O57" s="252">
        <f t="shared" si="0"/>
        <v>4788</v>
      </c>
      <c r="P57" s="256">
        <f t="shared" si="0"/>
        <v>97710</v>
      </c>
      <c r="Q57" s="127">
        <f>SUM(Q9:Q56)</f>
        <v>372491</v>
      </c>
    </row>
    <row r="58" ht="16.5" thickTop="1"/>
    <row r="59" spans="1:19" s="17" customFormat="1" ht="15.75">
      <c r="A59" s="92"/>
      <c r="B59" s="128"/>
      <c r="C59" s="129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28"/>
      <c r="P59" s="128"/>
      <c r="Q59" s="92"/>
      <c r="S59" s="86"/>
    </row>
    <row r="60" ht="15.75">
      <c r="C60" s="130"/>
    </row>
    <row r="61" spans="3:16" ht="15.75">
      <c r="C61" s="130"/>
      <c r="D61" s="130"/>
      <c r="P61" s="130"/>
    </row>
    <row r="62" ht="15.75">
      <c r="C62" s="130"/>
    </row>
    <row r="63" ht="15.75">
      <c r="P63" s="130"/>
    </row>
    <row r="66" ht="15.75">
      <c r="D66" s="130"/>
    </row>
  </sheetData>
  <sheetProtection/>
  <mergeCells count="10">
    <mergeCell ref="A1:B1"/>
    <mergeCell ref="A2:B2"/>
    <mergeCell ref="A3:C3"/>
    <mergeCell ref="A4:Q4"/>
    <mergeCell ref="A5:Q5"/>
    <mergeCell ref="B7:C7"/>
    <mergeCell ref="D7:G7"/>
    <mergeCell ref="J7:O7"/>
    <mergeCell ref="H7:I7"/>
    <mergeCell ref="P7:P8"/>
  </mergeCells>
  <printOptions/>
  <pageMargins left="0.984251968503937" right="0" top="0.3937007874015748" bottom="0.3937007874015748" header="0.5118110236220472" footer="0.1968503937007874"/>
  <pageSetup fitToHeight="1" fitToWidth="1" horizontalDpi="300" verticalDpi="300" orientation="portrait" paperSize="9" scale="59" r:id="rId2"/>
  <headerFooter alignWithMargins="0">
    <oddFooter>&amp;C[ 8 ]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6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6.7109375" style="213" customWidth="1"/>
    <col min="2" max="2" width="17.7109375" style="213" customWidth="1"/>
    <col min="3" max="4" width="15.7109375" style="213" customWidth="1"/>
    <col min="5" max="5" width="14.7109375" style="213" customWidth="1"/>
    <col min="6" max="6" width="14.7109375" style="204" customWidth="1"/>
    <col min="7" max="7" width="9.140625" style="204" customWidth="1"/>
    <col min="8" max="8" width="12.28125" style="204" bestFit="1" customWidth="1"/>
    <col min="9" max="16384" width="9.140625" style="204" customWidth="1"/>
  </cols>
  <sheetData>
    <row r="1" spans="1:5" ht="12" customHeight="1">
      <c r="A1" s="205" t="s">
        <v>0</v>
      </c>
      <c r="B1" s="206"/>
      <c r="C1" s="206"/>
      <c r="D1" s="206"/>
      <c r="E1" s="206"/>
    </row>
    <row r="2" spans="1:5" ht="12" customHeight="1">
      <c r="A2" s="205" t="s">
        <v>1</v>
      </c>
      <c r="B2" s="206"/>
      <c r="C2" s="206"/>
      <c r="D2" s="206"/>
      <c r="E2" s="206"/>
    </row>
    <row r="3" spans="1:5" ht="12" customHeight="1">
      <c r="A3" s="205" t="s">
        <v>2</v>
      </c>
      <c r="B3" s="206"/>
      <c r="C3" s="206"/>
      <c r="D3" s="206"/>
      <c r="E3" s="206"/>
    </row>
    <row r="4" spans="1:5" ht="12" customHeight="1">
      <c r="A4" s="205"/>
      <c r="B4" s="206"/>
      <c r="C4" s="206"/>
      <c r="D4" s="206"/>
      <c r="E4" s="206"/>
    </row>
    <row r="5" spans="1:5" ht="24" customHeight="1">
      <c r="A5" s="398" t="s">
        <v>173</v>
      </c>
      <c r="B5" s="398"/>
      <c r="C5" s="398"/>
      <c r="D5" s="398"/>
      <c r="E5" s="398"/>
    </row>
    <row r="6" spans="1:5" ht="24.75" customHeight="1" thickBot="1">
      <c r="A6" s="399" t="s">
        <v>174</v>
      </c>
      <c r="B6" s="399"/>
      <c r="C6" s="399"/>
      <c r="D6" s="399"/>
      <c r="E6" s="399"/>
    </row>
    <row r="7" spans="1:5" ht="18.75" customHeight="1" thickTop="1">
      <c r="A7" s="207" t="s">
        <v>61</v>
      </c>
      <c r="B7" s="208" t="s">
        <v>62</v>
      </c>
      <c r="C7" s="208" t="s">
        <v>24</v>
      </c>
      <c r="D7" s="208" t="s">
        <v>25</v>
      </c>
      <c r="E7" s="400" t="s">
        <v>15</v>
      </c>
    </row>
    <row r="8" spans="1:5" ht="17.25" customHeight="1" thickBot="1">
      <c r="A8" s="209" t="s">
        <v>18</v>
      </c>
      <c r="B8" s="210" t="s">
        <v>77</v>
      </c>
      <c r="C8" s="210" t="s">
        <v>77</v>
      </c>
      <c r="D8" s="210" t="s">
        <v>77</v>
      </c>
      <c r="E8" s="401"/>
    </row>
    <row r="9" spans="1:9" s="214" customFormat="1" ht="13.5" customHeight="1" thickTop="1">
      <c r="A9" s="211" t="s">
        <v>66</v>
      </c>
      <c r="B9" s="212">
        <v>920</v>
      </c>
      <c r="C9" s="233" t="s">
        <v>84</v>
      </c>
      <c r="D9" s="212">
        <f aca="true" t="shared" si="0" ref="D9:D55">SUM(B9:C9)</f>
        <v>920</v>
      </c>
      <c r="E9" s="234">
        <f aca="true" t="shared" si="1" ref="E9:E56">+D9/$D$57*100</f>
        <v>0.09126912134842874</v>
      </c>
      <c r="F9" s="213"/>
      <c r="H9" s="204"/>
      <c r="I9" s="215"/>
    </row>
    <row r="10" spans="1:9" s="214" customFormat="1" ht="13.5" customHeight="1">
      <c r="A10" s="216" t="s">
        <v>102</v>
      </c>
      <c r="B10" s="217">
        <v>653</v>
      </c>
      <c r="C10" s="218" t="s">
        <v>84</v>
      </c>
      <c r="D10" s="217">
        <f>SUM(B10:C10)</f>
        <v>653</v>
      </c>
      <c r="E10" s="235">
        <f t="shared" si="1"/>
        <v>0.06478123504404779</v>
      </c>
      <c r="H10" s="204"/>
      <c r="I10" s="215"/>
    </row>
    <row r="11" spans="1:9" s="214" customFormat="1" ht="13.5" customHeight="1">
      <c r="A11" s="216" t="s">
        <v>86</v>
      </c>
      <c r="B11" s="217">
        <v>5787</v>
      </c>
      <c r="C11" s="218" t="s">
        <v>84</v>
      </c>
      <c r="D11" s="217">
        <f t="shared" si="0"/>
        <v>5787</v>
      </c>
      <c r="E11" s="235">
        <f t="shared" si="1"/>
        <v>0.5741026143949534</v>
      </c>
      <c r="H11" s="204"/>
      <c r="I11" s="215"/>
    </row>
    <row r="12" spans="1:9" s="214" customFormat="1" ht="13.5" customHeight="1">
      <c r="A12" s="219" t="s">
        <v>109</v>
      </c>
      <c r="B12" s="217">
        <v>5134</v>
      </c>
      <c r="C12" s="218" t="s">
        <v>84</v>
      </c>
      <c r="D12" s="217">
        <f t="shared" si="0"/>
        <v>5134</v>
      </c>
      <c r="E12" s="235">
        <f t="shared" si="1"/>
        <v>0.5093213793509056</v>
      </c>
      <c r="H12" s="204"/>
      <c r="I12" s="215"/>
    </row>
    <row r="13" spans="1:9" s="214" customFormat="1" ht="13.5" customHeight="1">
      <c r="A13" s="220" t="s">
        <v>121</v>
      </c>
      <c r="B13" s="217">
        <v>10096</v>
      </c>
      <c r="C13" s="218">
        <v>284.295</v>
      </c>
      <c r="D13" s="217">
        <f t="shared" si="0"/>
        <v>10380.295</v>
      </c>
      <c r="E13" s="235">
        <f t="shared" si="1"/>
        <v>1.029783047812487</v>
      </c>
      <c r="H13" s="204"/>
      <c r="I13" s="215"/>
    </row>
    <row r="14" spans="1:9" s="214" customFormat="1" ht="13.5" customHeight="1">
      <c r="A14" s="220" t="s">
        <v>119</v>
      </c>
      <c r="B14" s="217">
        <v>31195</v>
      </c>
      <c r="C14" s="218">
        <v>5286.864</v>
      </c>
      <c r="D14" s="217">
        <f t="shared" si="0"/>
        <v>36481.864</v>
      </c>
      <c r="E14" s="235">
        <f t="shared" si="1"/>
        <v>3.619203991774863</v>
      </c>
      <c r="H14" s="204"/>
      <c r="I14" s="215"/>
    </row>
    <row r="15" spans="1:9" s="214" customFormat="1" ht="13.5" customHeight="1">
      <c r="A15" s="219" t="s">
        <v>125</v>
      </c>
      <c r="B15" s="217">
        <v>1922</v>
      </c>
      <c r="C15" s="218" t="s">
        <v>84</v>
      </c>
      <c r="D15" s="217">
        <f t="shared" si="0"/>
        <v>1922</v>
      </c>
      <c r="E15" s="235">
        <f t="shared" si="1"/>
        <v>0.1906730991648696</v>
      </c>
      <c r="H15" s="204"/>
      <c r="I15" s="215"/>
    </row>
    <row r="16" spans="1:9" s="214" customFormat="1" ht="13.5" customHeight="1">
      <c r="A16" s="219" t="s">
        <v>115</v>
      </c>
      <c r="B16" s="217">
        <v>1047</v>
      </c>
      <c r="C16" s="218" t="s">
        <v>84</v>
      </c>
      <c r="D16" s="217">
        <f t="shared" si="0"/>
        <v>1047</v>
      </c>
      <c r="E16" s="235">
        <f t="shared" si="1"/>
        <v>0.10386822831717922</v>
      </c>
      <c r="H16" s="204"/>
      <c r="I16" s="215"/>
    </row>
    <row r="17" spans="1:9" s="214" customFormat="1" ht="13.5" customHeight="1">
      <c r="A17" s="220" t="s">
        <v>127</v>
      </c>
      <c r="B17" s="218">
        <v>0</v>
      </c>
      <c r="C17" s="218">
        <v>5300</v>
      </c>
      <c r="D17" s="217">
        <f t="shared" si="0"/>
        <v>5300</v>
      </c>
      <c r="E17" s="235">
        <f t="shared" si="1"/>
        <v>0.5257895034202961</v>
      </c>
      <c r="H17" s="221"/>
      <c r="I17" s="222"/>
    </row>
    <row r="18" spans="1:9" s="214" customFormat="1" ht="13.5" customHeight="1">
      <c r="A18" s="220" t="s">
        <v>104</v>
      </c>
      <c r="B18" s="217">
        <v>2031</v>
      </c>
      <c r="C18" s="218" t="s">
        <v>84</v>
      </c>
      <c r="D18" s="217">
        <f t="shared" si="0"/>
        <v>2031</v>
      </c>
      <c r="E18" s="235">
        <f t="shared" si="1"/>
        <v>0.20148650593332473</v>
      </c>
      <c r="H18" s="204"/>
      <c r="I18" s="215"/>
    </row>
    <row r="19" spans="1:9" s="214" customFormat="1" ht="13.5" customHeight="1">
      <c r="A19" s="220" t="s">
        <v>116</v>
      </c>
      <c r="B19" s="217">
        <v>4406</v>
      </c>
      <c r="C19" s="218" t="s">
        <v>84</v>
      </c>
      <c r="D19" s="217">
        <f t="shared" si="0"/>
        <v>4406</v>
      </c>
      <c r="E19" s="235">
        <f t="shared" si="1"/>
        <v>0.4370997268056272</v>
      </c>
      <c r="H19" s="204"/>
      <c r="I19" s="215"/>
    </row>
    <row r="20" spans="1:9" s="214" customFormat="1" ht="13.5" customHeight="1">
      <c r="A20" s="219" t="s">
        <v>110</v>
      </c>
      <c r="B20" s="217">
        <v>4231</v>
      </c>
      <c r="C20" s="218" t="s">
        <v>84</v>
      </c>
      <c r="D20" s="217">
        <f t="shared" si="0"/>
        <v>4231</v>
      </c>
      <c r="E20" s="235">
        <f t="shared" si="1"/>
        <v>0.4197387526360891</v>
      </c>
      <c r="H20" s="204"/>
      <c r="I20" s="215"/>
    </row>
    <row r="21" spans="1:9" s="214" customFormat="1" ht="13.5" customHeight="1">
      <c r="A21" s="220" t="s">
        <v>118</v>
      </c>
      <c r="B21" s="217">
        <v>2055</v>
      </c>
      <c r="C21" s="218">
        <v>30.019</v>
      </c>
      <c r="D21" s="217">
        <f t="shared" si="0"/>
        <v>2085.019</v>
      </c>
      <c r="E21" s="235">
        <f t="shared" si="1"/>
        <v>0.2068454914399777</v>
      </c>
      <c r="H21" s="204"/>
      <c r="I21" s="215"/>
    </row>
    <row r="22" spans="1:9" s="214" customFormat="1" ht="13.5" customHeight="1">
      <c r="A22" s="223" t="s">
        <v>112</v>
      </c>
      <c r="B22" s="217">
        <f>2551+169</f>
        <v>2720</v>
      </c>
      <c r="C22" s="218" t="s">
        <v>84</v>
      </c>
      <c r="D22" s="217">
        <f t="shared" si="0"/>
        <v>2720</v>
      </c>
      <c r="E22" s="235">
        <f t="shared" si="1"/>
        <v>0.2698391413779632</v>
      </c>
      <c r="H22" s="204"/>
      <c r="I22" s="215"/>
    </row>
    <row r="23" spans="1:9" s="214" customFormat="1" ht="13.5" customHeight="1">
      <c r="A23" s="216" t="s">
        <v>94</v>
      </c>
      <c r="B23" s="217">
        <v>3071</v>
      </c>
      <c r="C23" s="220">
        <v>598</v>
      </c>
      <c r="D23" s="217">
        <f t="shared" si="0"/>
        <v>3669</v>
      </c>
      <c r="E23" s="235">
        <f t="shared" si="1"/>
        <v>0.3639852241602011</v>
      </c>
      <c r="H23" s="204"/>
      <c r="I23" s="215"/>
    </row>
    <row r="24" spans="1:9" s="214" customFormat="1" ht="13.5" customHeight="1">
      <c r="A24" s="224" t="s">
        <v>99</v>
      </c>
      <c r="B24" s="217">
        <v>1376</v>
      </c>
      <c r="C24" s="218" t="s">
        <v>84</v>
      </c>
      <c r="D24" s="217">
        <f t="shared" si="0"/>
        <v>1376</v>
      </c>
      <c r="E24" s="235">
        <f t="shared" si="1"/>
        <v>0.13650685975591081</v>
      </c>
      <c r="H24" s="204"/>
      <c r="I24" s="215"/>
    </row>
    <row r="25" spans="1:9" s="214" customFormat="1" ht="13.5" customHeight="1">
      <c r="A25" s="216" t="s">
        <v>91</v>
      </c>
      <c r="B25" s="217">
        <v>2884</v>
      </c>
      <c r="C25" s="218">
        <v>1205.121</v>
      </c>
      <c r="D25" s="217">
        <f t="shared" si="0"/>
        <v>4089.121</v>
      </c>
      <c r="E25" s="235">
        <f t="shared" si="1"/>
        <v>0.40566356604066117</v>
      </c>
      <c r="H25" s="204"/>
      <c r="I25" s="215"/>
    </row>
    <row r="26" spans="1:9" s="214" customFormat="1" ht="13.5" customHeight="1">
      <c r="A26" s="220" t="s">
        <v>122</v>
      </c>
      <c r="B26" s="217">
        <v>26156</v>
      </c>
      <c r="C26" s="218"/>
      <c r="D26" s="217">
        <f t="shared" si="0"/>
        <v>26156</v>
      </c>
      <c r="E26" s="235">
        <f t="shared" si="1"/>
        <v>2.594820802162502</v>
      </c>
      <c r="H26" s="204"/>
      <c r="I26" s="215"/>
    </row>
    <row r="27" spans="1:9" s="214" customFormat="1" ht="13.5" customHeight="1">
      <c r="A27" s="216" t="s">
        <v>93</v>
      </c>
      <c r="B27" s="217">
        <v>1104</v>
      </c>
      <c r="C27" s="218" t="s">
        <v>84</v>
      </c>
      <c r="D27" s="217">
        <f t="shared" si="0"/>
        <v>1104</v>
      </c>
      <c r="E27" s="235">
        <f t="shared" si="1"/>
        <v>0.10952294561811449</v>
      </c>
      <c r="H27" s="204"/>
      <c r="I27" s="215"/>
    </row>
    <row r="28" spans="1:9" s="214" customFormat="1" ht="13.5" customHeight="1">
      <c r="A28" s="220" t="s">
        <v>96</v>
      </c>
      <c r="B28" s="217">
        <v>4294</v>
      </c>
      <c r="C28" s="218" t="s">
        <v>84</v>
      </c>
      <c r="D28" s="217">
        <f t="shared" si="0"/>
        <v>4294</v>
      </c>
      <c r="E28" s="235">
        <f t="shared" si="1"/>
        <v>0.4259887033371228</v>
      </c>
      <c r="H28" s="204"/>
      <c r="I28" s="215"/>
    </row>
    <row r="29" spans="1:9" s="214" customFormat="1" ht="13.5" customHeight="1">
      <c r="A29" s="223" t="s">
        <v>114</v>
      </c>
      <c r="B29" s="217">
        <v>878</v>
      </c>
      <c r="C29" s="218" t="s">
        <v>84</v>
      </c>
      <c r="D29" s="217">
        <f t="shared" si="0"/>
        <v>878</v>
      </c>
      <c r="E29" s="235">
        <f t="shared" si="1"/>
        <v>0.08710248754773961</v>
      </c>
      <c r="H29" s="204"/>
      <c r="I29" s="215"/>
    </row>
    <row r="30" spans="1:9" s="214" customFormat="1" ht="13.5" customHeight="1">
      <c r="A30" s="224" t="s">
        <v>100</v>
      </c>
      <c r="B30" s="217">
        <v>1699</v>
      </c>
      <c r="C30" s="218" t="s">
        <v>84</v>
      </c>
      <c r="D30" s="217">
        <f t="shared" si="0"/>
        <v>1699</v>
      </c>
      <c r="E30" s="235">
        <f t="shared" si="1"/>
        <v>0.16855025779454394</v>
      </c>
      <c r="H30" s="204"/>
      <c r="I30" s="215"/>
    </row>
    <row r="31" spans="1:9" s="214" customFormat="1" ht="13.5" customHeight="1">
      <c r="A31" s="219" t="s">
        <v>98</v>
      </c>
      <c r="B31" s="217">
        <v>1235</v>
      </c>
      <c r="C31" s="218" t="s">
        <v>84</v>
      </c>
      <c r="D31" s="217">
        <f t="shared" si="0"/>
        <v>1235</v>
      </c>
      <c r="E31" s="235">
        <f t="shared" si="1"/>
        <v>0.12251887485359726</v>
      </c>
      <c r="H31" s="204"/>
      <c r="I31" s="215"/>
    </row>
    <row r="32" spans="1:9" s="214" customFormat="1" ht="13.5" customHeight="1">
      <c r="A32" s="219" t="s">
        <v>68</v>
      </c>
      <c r="B32" s="217">
        <v>1602</v>
      </c>
      <c r="C32" s="218" t="s">
        <v>84</v>
      </c>
      <c r="D32" s="217">
        <f t="shared" si="0"/>
        <v>1602</v>
      </c>
      <c r="E32" s="235">
        <f t="shared" si="1"/>
        <v>0.1589273178262857</v>
      </c>
      <c r="H32" s="204"/>
      <c r="I32" s="215"/>
    </row>
    <row r="33" spans="1:9" ht="13.5" customHeight="1">
      <c r="A33" s="224" t="s">
        <v>101</v>
      </c>
      <c r="B33" s="217">
        <v>27691</v>
      </c>
      <c r="C33" s="218">
        <v>252506.615</v>
      </c>
      <c r="D33" s="217">
        <f>SUM(B33:C33)</f>
        <v>280197.615</v>
      </c>
      <c r="E33" s="235">
        <f t="shared" si="1"/>
        <v>27.797163179320993</v>
      </c>
      <c r="F33" s="214"/>
      <c r="I33" s="215"/>
    </row>
    <row r="34" spans="1:9" ht="13.5" customHeight="1">
      <c r="A34" s="223" t="s">
        <v>113</v>
      </c>
      <c r="B34" s="217">
        <v>2058</v>
      </c>
      <c r="C34" s="218" t="s">
        <v>84</v>
      </c>
      <c r="D34" s="217">
        <f t="shared" si="0"/>
        <v>2058</v>
      </c>
      <c r="E34" s="235">
        <f t="shared" si="1"/>
        <v>0.20416505623376777</v>
      </c>
      <c r="F34" s="214"/>
      <c r="I34" s="215"/>
    </row>
    <row r="35" spans="1:9" ht="13.5" customHeight="1">
      <c r="A35" s="219" t="s">
        <v>124</v>
      </c>
      <c r="B35" s="217">
        <v>3875</v>
      </c>
      <c r="C35" s="218" t="s">
        <v>84</v>
      </c>
      <c r="D35" s="217">
        <f t="shared" si="0"/>
        <v>3875</v>
      </c>
      <c r="E35" s="235">
        <f t="shared" si="1"/>
        <v>0.38442157089691453</v>
      </c>
      <c r="F35" s="214"/>
      <c r="I35" s="215"/>
    </row>
    <row r="36" spans="1:9" ht="13.5" customHeight="1">
      <c r="A36" s="219" t="s">
        <v>20</v>
      </c>
      <c r="B36" s="217">
        <v>6860</v>
      </c>
      <c r="C36" s="218" t="s">
        <v>84</v>
      </c>
      <c r="D36" s="217">
        <f t="shared" si="0"/>
        <v>6860</v>
      </c>
      <c r="E36" s="235">
        <f t="shared" si="1"/>
        <v>0.6805501874458926</v>
      </c>
      <c r="F36" s="214"/>
      <c r="I36" s="215"/>
    </row>
    <row r="37" spans="1:9" ht="13.5" customHeight="1">
      <c r="A37" s="219" t="s">
        <v>108</v>
      </c>
      <c r="B37" s="217">
        <v>5384</v>
      </c>
      <c r="C37" s="218" t="s">
        <v>84</v>
      </c>
      <c r="D37" s="217">
        <f t="shared" si="0"/>
        <v>5384</v>
      </c>
      <c r="E37" s="235">
        <f t="shared" si="1"/>
        <v>0.5341227710216743</v>
      </c>
      <c r="F37" s="214"/>
      <c r="I37" s="215"/>
    </row>
    <row r="38" spans="1:9" ht="13.5" customHeight="1">
      <c r="A38" s="219" t="s">
        <v>97</v>
      </c>
      <c r="B38" s="217">
        <v>2893</v>
      </c>
      <c r="C38" s="218" t="s">
        <v>84</v>
      </c>
      <c r="D38" s="217">
        <f t="shared" si="0"/>
        <v>2893</v>
      </c>
      <c r="E38" s="235">
        <f t="shared" si="1"/>
        <v>0.28700170441413514</v>
      </c>
      <c r="F38" s="214"/>
      <c r="I38" s="215"/>
    </row>
    <row r="39" spans="1:9" ht="13.5" customHeight="1">
      <c r="A39" s="220" t="s">
        <v>123</v>
      </c>
      <c r="B39" s="217">
        <v>77</v>
      </c>
      <c r="C39" s="218" t="s">
        <v>84</v>
      </c>
      <c r="D39" s="217">
        <f t="shared" si="0"/>
        <v>77</v>
      </c>
      <c r="E39" s="235">
        <f t="shared" si="1"/>
        <v>0.007638828634596753</v>
      </c>
      <c r="F39" s="214"/>
      <c r="I39" s="215"/>
    </row>
    <row r="40" spans="1:9" ht="13.5" customHeight="1">
      <c r="A40" s="220" t="s">
        <v>103</v>
      </c>
      <c r="B40" s="217">
        <v>22568</v>
      </c>
      <c r="C40" s="218" t="s">
        <v>84</v>
      </c>
      <c r="D40" s="217">
        <f t="shared" si="0"/>
        <v>22568</v>
      </c>
      <c r="E40" s="235">
        <f t="shared" si="1"/>
        <v>2.2388712289036303</v>
      </c>
      <c r="F40" s="214"/>
      <c r="I40" s="215"/>
    </row>
    <row r="41" spans="1:9" ht="13.5" customHeight="1">
      <c r="A41" s="220" t="s">
        <v>128</v>
      </c>
      <c r="B41" s="217">
        <v>0</v>
      </c>
      <c r="C41" s="218" t="s">
        <v>84</v>
      </c>
      <c r="D41" s="217">
        <f t="shared" si="0"/>
        <v>0</v>
      </c>
      <c r="E41" s="235">
        <f t="shared" si="1"/>
        <v>0</v>
      </c>
      <c r="F41" s="214"/>
      <c r="I41" s="215"/>
    </row>
    <row r="42" spans="1:9" ht="13.5" customHeight="1">
      <c r="A42" s="219" t="s">
        <v>105</v>
      </c>
      <c r="B42" s="217">
        <v>2503</v>
      </c>
      <c r="C42" s="218" t="s">
        <v>84</v>
      </c>
      <c r="D42" s="217">
        <f t="shared" si="0"/>
        <v>2503</v>
      </c>
      <c r="E42" s="235">
        <f t="shared" si="1"/>
        <v>0.248311533407736</v>
      </c>
      <c r="F42" s="214"/>
      <c r="I42" s="215"/>
    </row>
    <row r="43" spans="1:9" ht="13.5" customHeight="1">
      <c r="A43" s="220" t="s">
        <v>88</v>
      </c>
      <c r="B43" s="217">
        <v>4601</v>
      </c>
      <c r="C43" s="218" t="s">
        <v>84</v>
      </c>
      <c r="D43" s="217">
        <f t="shared" si="0"/>
        <v>4601</v>
      </c>
      <c r="E43" s="235">
        <f t="shared" si="1"/>
        <v>0.4564448123088267</v>
      </c>
      <c r="F43" s="214"/>
      <c r="I43" s="215"/>
    </row>
    <row r="44" spans="1:9" ht="13.5" customHeight="1">
      <c r="A44" s="219" t="s">
        <v>117</v>
      </c>
      <c r="B44" s="217">
        <v>10516</v>
      </c>
      <c r="C44" s="218">
        <v>87</v>
      </c>
      <c r="D44" s="217">
        <f t="shared" si="0"/>
        <v>10603</v>
      </c>
      <c r="E44" s="235">
        <f t="shared" si="1"/>
        <v>1.0518766235406412</v>
      </c>
      <c r="F44" s="214"/>
      <c r="I44" s="215"/>
    </row>
    <row r="45" spans="1:9" s="142" customFormat="1" ht="13.5" customHeight="1">
      <c r="A45" s="155" t="s">
        <v>89</v>
      </c>
      <c r="B45" s="225">
        <v>2070</v>
      </c>
      <c r="C45" s="136" t="s">
        <v>84</v>
      </c>
      <c r="D45" s="225">
        <f t="shared" si="0"/>
        <v>2070</v>
      </c>
      <c r="E45" s="236">
        <f t="shared" si="1"/>
        <v>0.20535552303396465</v>
      </c>
      <c r="F45" s="145"/>
      <c r="I45" s="226"/>
    </row>
    <row r="46" spans="1:9" ht="13.5" customHeight="1">
      <c r="A46" s="223" t="s">
        <v>163</v>
      </c>
      <c r="B46" s="217">
        <v>0</v>
      </c>
      <c r="C46" s="218">
        <v>104356.308</v>
      </c>
      <c r="D46" s="217">
        <f t="shared" si="0"/>
        <v>104356.308</v>
      </c>
      <c r="E46" s="235">
        <f t="shared" si="1"/>
        <v>10.352726672093485</v>
      </c>
      <c r="F46" s="214"/>
      <c r="I46" s="215"/>
    </row>
    <row r="47" spans="1:9" ht="13.5" customHeight="1">
      <c r="A47" s="219" t="s">
        <v>126</v>
      </c>
      <c r="B47" s="217">
        <v>7987</v>
      </c>
      <c r="C47" s="218" t="s">
        <v>84</v>
      </c>
      <c r="D47" s="217">
        <f t="shared" si="0"/>
        <v>7987</v>
      </c>
      <c r="E47" s="235">
        <f t="shared" si="1"/>
        <v>0.7923548610977178</v>
      </c>
      <c r="F47" s="214"/>
      <c r="I47" s="215"/>
    </row>
    <row r="48" spans="1:9" ht="13.5" customHeight="1">
      <c r="A48" s="219" t="s">
        <v>106</v>
      </c>
      <c r="B48" s="217">
        <v>827</v>
      </c>
      <c r="C48" s="218" t="s">
        <v>84</v>
      </c>
      <c r="D48" s="217">
        <f t="shared" si="0"/>
        <v>827</v>
      </c>
      <c r="E48" s="235">
        <f t="shared" si="1"/>
        <v>0.08204300364690278</v>
      </c>
      <c r="F48" s="214"/>
      <c r="I48" s="215"/>
    </row>
    <row r="49" spans="1:9" ht="13.5" customHeight="1">
      <c r="A49" s="216" t="s">
        <v>90</v>
      </c>
      <c r="B49" s="217">
        <v>2899</v>
      </c>
      <c r="C49" s="218" t="s">
        <v>84</v>
      </c>
      <c r="D49" s="217">
        <f t="shared" si="0"/>
        <v>2899</v>
      </c>
      <c r="E49" s="235">
        <f t="shared" si="1"/>
        <v>0.28759693781423357</v>
      </c>
      <c r="F49" s="214"/>
      <c r="I49" s="215"/>
    </row>
    <row r="50" spans="1:9" ht="13.5" customHeight="1">
      <c r="A50" s="223" t="s">
        <v>92</v>
      </c>
      <c r="B50" s="217">
        <v>1105</v>
      </c>
      <c r="C50" s="218" t="s">
        <v>84</v>
      </c>
      <c r="D50" s="217">
        <f t="shared" si="0"/>
        <v>1105</v>
      </c>
      <c r="E50" s="235">
        <f t="shared" si="1"/>
        <v>0.10962215118479755</v>
      </c>
      <c r="F50" s="214"/>
      <c r="I50" s="215"/>
    </row>
    <row r="51" spans="1:9" ht="13.5" customHeight="1">
      <c r="A51" s="216" t="s">
        <v>95</v>
      </c>
      <c r="B51" s="217">
        <v>3545</v>
      </c>
      <c r="C51" s="218" t="s">
        <v>84</v>
      </c>
      <c r="D51" s="217">
        <f t="shared" si="0"/>
        <v>3545</v>
      </c>
      <c r="E51" s="235">
        <f t="shared" si="1"/>
        <v>0.3516837338914999</v>
      </c>
      <c r="F51" s="214"/>
      <c r="I51" s="215"/>
    </row>
    <row r="52" spans="1:9" ht="13.5" customHeight="1">
      <c r="A52" s="219" t="s">
        <v>107</v>
      </c>
      <c r="B52" s="217">
        <v>2278</v>
      </c>
      <c r="C52" s="218" t="s">
        <v>84</v>
      </c>
      <c r="D52" s="217">
        <f t="shared" si="0"/>
        <v>2278</v>
      </c>
      <c r="E52" s="235">
        <f t="shared" si="1"/>
        <v>0.22599028090404422</v>
      </c>
      <c r="F52" s="214"/>
      <c r="I52" s="215"/>
    </row>
    <row r="53" spans="1:9" ht="13.5" customHeight="1">
      <c r="A53" s="220" t="s">
        <v>120</v>
      </c>
      <c r="B53" s="217">
        <v>102574</v>
      </c>
      <c r="C53" s="218">
        <v>265862.442</v>
      </c>
      <c r="D53" s="217">
        <f t="shared" si="0"/>
        <v>368436.442</v>
      </c>
      <c r="E53" s="235">
        <f t="shared" si="1"/>
        <v>36.55094601530579</v>
      </c>
      <c r="F53" s="214"/>
      <c r="I53" s="215"/>
    </row>
    <row r="54" spans="1:9" ht="13.5" customHeight="1">
      <c r="A54" s="223" t="s">
        <v>111</v>
      </c>
      <c r="B54" s="217">
        <v>375</v>
      </c>
      <c r="C54" s="218" t="s">
        <v>84</v>
      </c>
      <c r="D54" s="217">
        <f t="shared" si="0"/>
        <v>375</v>
      </c>
      <c r="E54" s="235">
        <f t="shared" si="1"/>
        <v>0.037202087506153024</v>
      </c>
      <c r="F54" s="214"/>
      <c r="I54" s="215"/>
    </row>
    <row r="55" spans="1:9" ht="13.5" customHeight="1">
      <c r="A55" s="216" t="s">
        <v>87</v>
      </c>
      <c r="B55" s="217">
        <v>740</v>
      </c>
      <c r="C55" s="218" t="s">
        <v>84</v>
      </c>
      <c r="D55" s="217">
        <f t="shared" si="0"/>
        <v>740</v>
      </c>
      <c r="E55" s="235">
        <f t="shared" si="1"/>
        <v>0.07341211934547529</v>
      </c>
      <c r="F55" s="214"/>
      <c r="I55" s="215"/>
    </row>
    <row r="56" spans="1:9" ht="13.5" customHeight="1" thickBot="1">
      <c r="A56" s="237" t="s">
        <v>28</v>
      </c>
      <c r="B56" s="227">
        <v>42569</v>
      </c>
      <c r="C56" s="238">
        <v>0.287</v>
      </c>
      <c r="D56" s="227">
        <f>SUM(B56:C56)</f>
        <v>42569.287</v>
      </c>
      <c r="E56" s="239">
        <f t="shared" si="1"/>
        <v>4.223110240129445</v>
      </c>
      <c r="F56" s="214"/>
      <c r="I56" s="215"/>
    </row>
    <row r="57" spans="1:6" ht="21.75" customHeight="1" thickBot="1" thickTop="1">
      <c r="A57" s="240" t="s">
        <v>14</v>
      </c>
      <c r="B57" s="228">
        <f>SUM(B9:B56)</f>
        <v>372491</v>
      </c>
      <c r="C57" s="229">
        <f>SUM(C9:C56)</f>
        <v>635516.951</v>
      </c>
      <c r="D57" s="228">
        <f>SUM(D9:D56)</f>
        <v>1008007.9509999999</v>
      </c>
      <c r="E57" s="230">
        <f>SUM(E9:E56)</f>
        <v>100.00000000000003</v>
      </c>
      <c r="F57" s="214"/>
    </row>
    <row r="58" ht="16.5" thickTop="1"/>
    <row r="59" spans="2:8" ht="15.75">
      <c r="B59" s="231"/>
      <c r="E59" s="232"/>
      <c r="H59" s="215"/>
    </row>
    <row r="60" ht="15.75">
      <c r="B60" s="232"/>
    </row>
    <row r="61" ht="15.75">
      <c r="H61" s="215"/>
    </row>
  </sheetData>
  <sheetProtection/>
  <mergeCells count="3">
    <mergeCell ref="A5:E5"/>
    <mergeCell ref="A6:E6"/>
    <mergeCell ref="E7:E8"/>
  </mergeCells>
  <printOptions/>
  <pageMargins left="0.984251968503937" right="0" top="0" bottom="0.5905511811023623" header="0.5118110236220472" footer="0.1968503937007874"/>
  <pageSetup horizontalDpi="300" verticalDpi="300" orientation="portrait" paperSize="9" r:id="rId2"/>
  <headerFooter alignWithMargins="0">
    <oddFooter>&amp;C[ 9 ]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6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3.00390625" style="147" customWidth="1"/>
    <col min="2" max="2" width="9.8515625" style="138" customWidth="1"/>
    <col min="3" max="3" width="11.421875" style="138" customWidth="1"/>
    <col min="4" max="4" width="16.140625" style="138" customWidth="1"/>
    <col min="5" max="5" width="13.7109375" style="193" customWidth="1"/>
    <col min="6" max="6" width="19.421875" style="138" customWidth="1"/>
    <col min="7" max="7" width="9.140625" style="137" customWidth="1"/>
    <col min="8" max="8" width="9.140625" style="194" customWidth="1"/>
    <col min="9" max="9" width="25.140625" style="137" customWidth="1"/>
    <col min="10" max="16384" width="9.140625" style="137" customWidth="1"/>
  </cols>
  <sheetData>
    <row r="1" spans="1:8" s="134" customFormat="1" ht="15.75">
      <c r="A1" s="377" t="s">
        <v>0</v>
      </c>
      <c r="B1" s="377"/>
      <c r="C1" s="135"/>
      <c r="D1" s="135"/>
      <c r="E1" s="161"/>
      <c r="F1" s="135"/>
      <c r="H1" s="162"/>
    </row>
    <row r="2" spans="1:8" s="134" customFormat="1" ht="15.75">
      <c r="A2" s="377" t="s">
        <v>1</v>
      </c>
      <c r="B2" s="377"/>
      <c r="C2" s="135"/>
      <c r="D2" s="135"/>
      <c r="E2" s="161"/>
      <c r="F2" s="135"/>
      <c r="H2" s="162"/>
    </row>
    <row r="3" spans="1:8" s="134" customFormat="1" ht="15.75">
      <c r="A3" s="377" t="s">
        <v>2</v>
      </c>
      <c r="B3" s="377"/>
      <c r="C3" s="135"/>
      <c r="D3" s="135"/>
      <c r="E3" s="161"/>
      <c r="F3" s="135"/>
      <c r="H3" s="162"/>
    </row>
    <row r="4" spans="1:8" s="134" customFormat="1" ht="15.75">
      <c r="A4" s="140"/>
      <c r="B4" s="135"/>
      <c r="C4" s="135"/>
      <c r="D4" s="135"/>
      <c r="E4" s="161"/>
      <c r="F4" s="135"/>
      <c r="H4" s="162"/>
    </row>
    <row r="5" spans="1:8" s="134" customFormat="1" ht="24" customHeight="1">
      <c r="A5" s="402" t="s">
        <v>175</v>
      </c>
      <c r="B5" s="402"/>
      <c r="C5" s="402"/>
      <c r="D5" s="402"/>
      <c r="E5" s="402"/>
      <c r="F5" s="402"/>
      <c r="H5" s="162"/>
    </row>
    <row r="6" spans="1:8" s="134" customFormat="1" ht="26.25" customHeight="1" thickBot="1">
      <c r="A6" s="403" t="s">
        <v>170</v>
      </c>
      <c r="B6" s="403"/>
      <c r="C6" s="403"/>
      <c r="D6" s="403"/>
      <c r="E6" s="403"/>
      <c r="F6" s="403"/>
      <c r="H6" s="162"/>
    </row>
    <row r="7" spans="1:8" s="134" customFormat="1" ht="19.5" customHeight="1" thickTop="1">
      <c r="A7" s="143" t="s">
        <v>19</v>
      </c>
      <c r="B7" s="150" t="s">
        <v>79</v>
      </c>
      <c r="C7" s="150" t="s">
        <v>24</v>
      </c>
      <c r="D7" s="163" t="s">
        <v>25</v>
      </c>
      <c r="E7" s="164" t="s">
        <v>26</v>
      </c>
      <c r="F7" s="150" t="s">
        <v>132</v>
      </c>
      <c r="H7" s="162"/>
    </row>
    <row r="8" spans="1:9" s="134" customFormat="1" ht="18.75" customHeight="1" thickBot="1">
      <c r="A8" s="165" t="s">
        <v>18</v>
      </c>
      <c r="B8" s="166" t="s">
        <v>77</v>
      </c>
      <c r="C8" s="166" t="s">
        <v>77</v>
      </c>
      <c r="D8" s="166" t="s">
        <v>77</v>
      </c>
      <c r="E8" s="167" t="s">
        <v>80</v>
      </c>
      <c r="F8" s="166" t="s">
        <v>78</v>
      </c>
      <c r="H8" s="168"/>
      <c r="I8" s="169"/>
    </row>
    <row r="9" spans="1:9" s="171" customFormat="1" ht="12.75" customHeight="1" thickTop="1">
      <c r="A9" s="144" t="s">
        <v>66</v>
      </c>
      <c r="B9" s="200">
        <v>920</v>
      </c>
      <c r="C9" s="201" t="s">
        <v>84</v>
      </c>
      <c r="D9" s="151">
        <f aca="true" t="shared" si="0" ref="D9:D56">SUM(B9:C9)</f>
        <v>920</v>
      </c>
      <c r="E9" s="170">
        <v>15</v>
      </c>
      <c r="F9" s="201">
        <f>E9*D9</f>
        <v>13800</v>
      </c>
      <c r="H9" s="172"/>
      <c r="I9" s="173"/>
    </row>
    <row r="10" spans="1:9" s="171" customFormat="1" ht="12.75" customHeight="1">
      <c r="A10" s="152" t="s">
        <v>102</v>
      </c>
      <c r="B10" s="176">
        <v>653</v>
      </c>
      <c r="C10" s="177" t="s">
        <v>84</v>
      </c>
      <c r="D10" s="174">
        <f t="shared" si="0"/>
        <v>653</v>
      </c>
      <c r="E10" s="178">
        <v>40</v>
      </c>
      <c r="F10" s="177">
        <f aca="true" t="shared" si="1" ref="F10:F56">E10*D10</f>
        <v>26120</v>
      </c>
      <c r="H10" s="168"/>
      <c r="I10" s="175"/>
    </row>
    <row r="11" spans="1:9" s="171" customFormat="1" ht="12.75" customHeight="1">
      <c r="A11" s="152" t="s">
        <v>86</v>
      </c>
      <c r="B11" s="176">
        <v>5787</v>
      </c>
      <c r="C11" s="177" t="s">
        <v>84</v>
      </c>
      <c r="D11" s="174">
        <f t="shared" si="0"/>
        <v>5787</v>
      </c>
      <c r="E11" s="178">
        <v>6.14</v>
      </c>
      <c r="F11" s="177">
        <f t="shared" si="1"/>
        <v>35532.18</v>
      </c>
      <c r="H11" s="168"/>
      <c r="I11" s="179"/>
    </row>
    <row r="12" spans="1:9" s="171" customFormat="1" ht="12.75" customHeight="1">
      <c r="A12" s="153" t="s">
        <v>109</v>
      </c>
      <c r="B12" s="176">
        <v>5134</v>
      </c>
      <c r="C12" s="177" t="s">
        <v>84</v>
      </c>
      <c r="D12" s="174">
        <f t="shared" si="0"/>
        <v>5134</v>
      </c>
      <c r="E12" s="178">
        <v>7.5</v>
      </c>
      <c r="F12" s="177">
        <f t="shared" si="1"/>
        <v>38505</v>
      </c>
      <c r="H12" s="168"/>
      <c r="I12" s="175"/>
    </row>
    <row r="13" spans="1:9" s="171" customFormat="1" ht="12.75" customHeight="1">
      <c r="A13" s="146" t="s">
        <v>121</v>
      </c>
      <c r="B13" s="176">
        <v>10096</v>
      </c>
      <c r="C13" s="177">
        <v>284.295</v>
      </c>
      <c r="D13" s="174">
        <f t="shared" si="0"/>
        <v>10380.295</v>
      </c>
      <c r="E13" s="178">
        <v>17</v>
      </c>
      <c r="F13" s="177">
        <f t="shared" si="1"/>
        <v>176465.015</v>
      </c>
      <c r="H13" s="168"/>
      <c r="I13" s="175"/>
    </row>
    <row r="14" spans="1:9" s="171" customFormat="1" ht="12.75" customHeight="1">
      <c r="A14" s="146" t="s">
        <v>119</v>
      </c>
      <c r="B14" s="176">
        <v>31195</v>
      </c>
      <c r="C14" s="177">
        <v>5286.864</v>
      </c>
      <c r="D14" s="174">
        <f t="shared" si="0"/>
        <v>36481.864</v>
      </c>
      <c r="E14" s="178">
        <v>5.38</v>
      </c>
      <c r="F14" s="177">
        <f t="shared" si="1"/>
        <v>196272.42832</v>
      </c>
      <c r="H14" s="168"/>
      <c r="I14" s="180"/>
    </row>
    <row r="15" spans="1:9" s="171" customFormat="1" ht="12.75" customHeight="1">
      <c r="A15" s="153" t="s">
        <v>125</v>
      </c>
      <c r="B15" s="176">
        <v>1922</v>
      </c>
      <c r="C15" s="177" t="s">
        <v>84</v>
      </c>
      <c r="D15" s="174">
        <f t="shared" si="0"/>
        <v>1922</v>
      </c>
      <c r="E15" s="178">
        <v>3</v>
      </c>
      <c r="F15" s="177">
        <f t="shared" si="1"/>
        <v>5766</v>
      </c>
      <c r="H15" s="172"/>
      <c r="I15" s="181"/>
    </row>
    <row r="16" spans="1:9" s="171" customFormat="1" ht="12.75" customHeight="1">
      <c r="A16" s="153" t="s">
        <v>115</v>
      </c>
      <c r="B16" s="176">
        <v>1047</v>
      </c>
      <c r="C16" s="177" t="s">
        <v>84</v>
      </c>
      <c r="D16" s="174">
        <f t="shared" si="0"/>
        <v>1047</v>
      </c>
      <c r="E16" s="178">
        <v>14</v>
      </c>
      <c r="F16" s="177">
        <f t="shared" si="1"/>
        <v>14658</v>
      </c>
      <c r="H16" s="172"/>
      <c r="I16" s="179"/>
    </row>
    <row r="17" spans="1:9" s="171" customFormat="1" ht="12.75" customHeight="1">
      <c r="A17" s="146" t="s">
        <v>127</v>
      </c>
      <c r="B17" s="177">
        <v>0</v>
      </c>
      <c r="C17" s="177">
        <v>5300</v>
      </c>
      <c r="D17" s="174">
        <f t="shared" si="0"/>
        <v>5300</v>
      </c>
      <c r="E17" s="178">
        <v>4.5</v>
      </c>
      <c r="F17" s="177">
        <f t="shared" si="1"/>
        <v>23850</v>
      </c>
      <c r="H17" s="172"/>
      <c r="I17" s="179"/>
    </row>
    <row r="18" spans="1:9" s="171" customFormat="1" ht="12.75" customHeight="1">
      <c r="A18" s="146" t="s">
        <v>104</v>
      </c>
      <c r="B18" s="176">
        <v>2031</v>
      </c>
      <c r="C18" s="177" t="s">
        <v>84</v>
      </c>
      <c r="D18" s="174">
        <f t="shared" si="0"/>
        <v>2031</v>
      </c>
      <c r="E18" s="178">
        <v>10.5</v>
      </c>
      <c r="F18" s="177">
        <f t="shared" si="1"/>
        <v>21325.5</v>
      </c>
      <c r="H18" s="172"/>
      <c r="I18" s="180"/>
    </row>
    <row r="19" spans="1:9" s="171" customFormat="1" ht="12.75" customHeight="1">
      <c r="A19" s="146" t="s">
        <v>116</v>
      </c>
      <c r="B19" s="176">
        <v>4406</v>
      </c>
      <c r="C19" s="177" t="s">
        <v>84</v>
      </c>
      <c r="D19" s="174">
        <f t="shared" si="0"/>
        <v>4406</v>
      </c>
      <c r="E19" s="202">
        <v>10.5</v>
      </c>
      <c r="F19" s="177">
        <f aca="true" t="shared" si="2" ref="F19:F27">E19*D19</f>
        <v>46263</v>
      </c>
      <c r="H19" s="172"/>
      <c r="I19" s="181"/>
    </row>
    <row r="20" spans="1:9" s="171" customFormat="1" ht="12.75" customHeight="1">
      <c r="A20" s="153" t="s">
        <v>110</v>
      </c>
      <c r="B20" s="176">
        <v>4231</v>
      </c>
      <c r="C20" s="177" t="s">
        <v>84</v>
      </c>
      <c r="D20" s="174">
        <f t="shared" si="0"/>
        <v>4231</v>
      </c>
      <c r="E20" s="178">
        <v>22</v>
      </c>
      <c r="F20" s="177">
        <f t="shared" si="2"/>
        <v>93082</v>
      </c>
      <c r="H20" s="172"/>
      <c r="I20" s="173"/>
    </row>
    <row r="21" spans="1:9" s="171" customFormat="1" ht="12.75" customHeight="1">
      <c r="A21" s="146" t="s">
        <v>118</v>
      </c>
      <c r="B21" s="176">
        <v>2055</v>
      </c>
      <c r="C21" s="177">
        <v>30.019</v>
      </c>
      <c r="D21" s="174">
        <f t="shared" si="0"/>
        <v>2085.019</v>
      </c>
      <c r="E21" s="178">
        <v>35.5</v>
      </c>
      <c r="F21" s="177">
        <f t="shared" si="2"/>
        <v>74018.1745</v>
      </c>
      <c r="H21" s="172"/>
      <c r="I21" s="180"/>
    </row>
    <row r="22" spans="1:9" s="171" customFormat="1" ht="12.75" customHeight="1">
      <c r="A22" s="155" t="s">
        <v>112</v>
      </c>
      <c r="B22" s="176">
        <v>2720</v>
      </c>
      <c r="C22" s="177" t="s">
        <v>84</v>
      </c>
      <c r="D22" s="174">
        <f t="shared" si="0"/>
        <v>2720</v>
      </c>
      <c r="E22" s="178">
        <v>8.981</v>
      </c>
      <c r="F22" s="177">
        <f>D22*E22</f>
        <v>24428.32</v>
      </c>
      <c r="H22" s="172"/>
      <c r="I22" s="182"/>
    </row>
    <row r="23" spans="1:9" s="171" customFormat="1" ht="12.75" customHeight="1">
      <c r="A23" s="152" t="s">
        <v>94</v>
      </c>
      <c r="B23" s="176">
        <v>3071</v>
      </c>
      <c r="C23" s="139">
        <v>598</v>
      </c>
      <c r="D23" s="174">
        <f t="shared" si="0"/>
        <v>3669</v>
      </c>
      <c r="E23" s="178">
        <v>19.95</v>
      </c>
      <c r="F23" s="177">
        <f t="shared" si="2"/>
        <v>73196.55</v>
      </c>
      <c r="H23" s="183"/>
      <c r="I23" s="180"/>
    </row>
    <row r="24" spans="1:9" s="171" customFormat="1" ht="12.75" customHeight="1">
      <c r="A24" s="154" t="s">
        <v>99</v>
      </c>
      <c r="B24" s="176">
        <v>1376</v>
      </c>
      <c r="C24" s="177" t="s">
        <v>84</v>
      </c>
      <c r="D24" s="174">
        <f t="shared" si="0"/>
        <v>1376</v>
      </c>
      <c r="E24" s="178">
        <v>9</v>
      </c>
      <c r="F24" s="177">
        <f t="shared" si="2"/>
        <v>12384</v>
      </c>
      <c r="H24" s="172"/>
      <c r="I24" s="180"/>
    </row>
    <row r="25" spans="1:9" s="171" customFormat="1" ht="12.75" customHeight="1">
      <c r="A25" s="152" t="s">
        <v>91</v>
      </c>
      <c r="B25" s="176">
        <v>2884</v>
      </c>
      <c r="C25" s="177">
        <v>1205.121</v>
      </c>
      <c r="D25" s="174">
        <f t="shared" si="0"/>
        <v>4089.121</v>
      </c>
      <c r="E25" s="178">
        <v>36.18</v>
      </c>
      <c r="F25" s="177">
        <f t="shared" si="2"/>
        <v>147944.39778</v>
      </c>
      <c r="H25" s="172"/>
      <c r="I25" s="180"/>
    </row>
    <row r="26" spans="1:9" s="171" customFormat="1" ht="12.75" customHeight="1">
      <c r="A26" s="146" t="s">
        <v>122</v>
      </c>
      <c r="B26" s="176">
        <v>26156</v>
      </c>
      <c r="C26" s="177"/>
      <c r="D26" s="174">
        <f t="shared" si="0"/>
        <v>26156</v>
      </c>
      <c r="E26" s="178">
        <v>6</v>
      </c>
      <c r="F26" s="177">
        <f t="shared" si="2"/>
        <v>156936</v>
      </c>
      <c r="H26" s="172"/>
      <c r="I26" s="181"/>
    </row>
    <row r="27" spans="1:9" s="171" customFormat="1" ht="12.75" customHeight="1">
      <c r="A27" s="152" t="s">
        <v>93</v>
      </c>
      <c r="B27" s="176">
        <v>1104</v>
      </c>
      <c r="C27" s="177" t="s">
        <v>84</v>
      </c>
      <c r="D27" s="174">
        <f t="shared" si="0"/>
        <v>1104</v>
      </c>
      <c r="E27" s="178">
        <v>13</v>
      </c>
      <c r="F27" s="177">
        <f t="shared" si="2"/>
        <v>14352</v>
      </c>
      <c r="H27" s="172"/>
      <c r="I27" s="179"/>
    </row>
    <row r="28" spans="1:9" s="171" customFormat="1" ht="12.75" customHeight="1">
      <c r="A28" s="146" t="s">
        <v>96</v>
      </c>
      <c r="B28" s="176">
        <v>4294</v>
      </c>
      <c r="C28" s="177" t="s">
        <v>84</v>
      </c>
      <c r="D28" s="174">
        <f t="shared" si="0"/>
        <v>4294</v>
      </c>
      <c r="E28" s="178">
        <v>15.19</v>
      </c>
      <c r="F28" s="177">
        <f t="shared" si="1"/>
        <v>65225.86</v>
      </c>
      <c r="H28" s="172"/>
      <c r="I28" s="181"/>
    </row>
    <row r="29" spans="1:9" s="171" customFormat="1" ht="12.75" customHeight="1">
      <c r="A29" s="155" t="s">
        <v>114</v>
      </c>
      <c r="B29" s="176">
        <v>878</v>
      </c>
      <c r="C29" s="177" t="s">
        <v>84</v>
      </c>
      <c r="D29" s="174">
        <f t="shared" si="0"/>
        <v>878</v>
      </c>
      <c r="E29" s="178">
        <v>6.59</v>
      </c>
      <c r="F29" s="177">
        <f t="shared" si="1"/>
        <v>5786.0199999999995</v>
      </c>
      <c r="H29" s="172"/>
      <c r="I29" s="180"/>
    </row>
    <row r="30" spans="1:9" s="171" customFormat="1" ht="12.75" customHeight="1">
      <c r="A30" s="154" t="s">
        <v>100</v>
      </c>
      <c r="B30" s="176">
        <v>1699</v>
      </c>
      <c r="C30" s="177" t="s">
        <v>84</v>
      </c>
      <c r="D30" s="174">
        <f t="shared" si="0"/>
        <v>1699</v>
      </c>
      <c r="E30" s="178">
        <v>4</v>
      </c>
      <c r="F30" s="177">
        <f t="shared" si="1"/>
        <v>6796</v>
      </c>
      <c r="H30" s="172"/>
      <c r="I30" s="173"/>
    </row>
    <row r="31" spans="1:9" s="171" customFormat="1" ht="12.75" customHeight="1">
      <c r="A31" s="153" t="s">
        <v>98</v>
      </c>
      <c r="B31" s="176">
        <v>1235</v>
      </c>
      <c r="C31" s="177" t="s">
        <v>84</v>
      </c>
      <c r="D31" s="174">
        <f t="shared" si="0"/>
        <v>1235</v>
      </c>
      <c r="E31" s="178">
        <v>17</v>
      </c>
      <c r="F31" s="177">
        <f t="shared" si="1"/>
        <v>20995</v>
      </c>
      <c r="H31" s="172"/>
      <c r="I31" s="173"/>
    </row>
    <row r="32" spans="1:9" s="171" customFormat="1" ht="12.75" customHeight="1">
      <c r="A32" s="153" t="s">
        <v>68</v>
      </c>
      <c r="B32" s="176">
        <v>1602</v>
      </c>
      <c r="C32" s="177" t="s">
        <v>84</v>
      </c>
      <c r="D32" s="174">
        <f t="shared" si="0"/>
        <v>1602</v>
      </c>
      <c r="E32" s="178">
        <v>20</v>
      </c>
      <c r="F32" s="177">
        <f t="shared" si="1"/>
        <v>32040</v>
      </c>
      <c r="H32" s="172"/>
      <c r="I32" s="173"/>
    </row>
    <row r="33" spans="1:9" s="134" customFormat="1" ht="12.75" customHeight="1">
      <c r="A33" s="154" t="s">
        <v>101</v>
      </c>
      <c r="B33" s="176">
        <v>27691</v>
      </c>
      <c r="C33" s="177">
        <v>252506.615</v>
      </c>
      <c r="D33" s="174">
        <f t="shared" si="0"/>
        <v>280197.615</v>
      </c>
      <c r="E33" s="178">
        <v>13.5</v>
      </c>
      <c r="F33" s="177">
        <f t="shared" si="1"/>
        <v>3782667.8024999998</v>
      </c>
      <c r="H33" s="172"/>
      <c r="I33" s="173"/>
    </row>
    <row r="34" spans="1:9" s="134" customFormat="1" ht="12.75" customHeight="1">
      <c r="A34" s="155" t="s">
        <v>113</v>
      </c>
      <c r="B34" s="176">
        <v>2058</v>
      </c>
      <c r="C34" s="177" t="s">
        <v>84</v>
      </c>
      <c r="D34" s="174">
        <f t="shared" si="0"/>
        <v>2058</v>
      </c>
      <c r="E34" s="178">
        <v>15</v>
      </c>
      <c r="F34" s="177">
        <f t="shared" si="1"/>
        <v>30870</v>
      </c>
      <c r="H34" s="183"/>
      <c r="I34" s="180"/>
    </row>
    <row r="35" spans="1:9" s="134" customFormat="1" ht="12.75" customHeight="1">
      <c r="A35" s="153" t="s">
        <v>124</v>
      </c>
      <c r="B35" s="176">
        <v>3875</v>
      </c>
      <c r="C35" s="177" t="s">
        <v>84</v>
      </c>
      <c r="D35" s="174">
        <f t="shared" si="0"/>
        <v>3875</v>
      </c>
      <c r="E35" s="178">
        <v>21.5</v>
      </c>
      <c r="F35" s="177">
        <f t="shared" si="1"/>
        <v>83312.5</v>
      </c>
      <c r="H35" s="172"/>
      <c r="I35" s="173"/>
    </row>
    <row r="36" spans="1:9" s="134" customFormat="1" ht="12.75" customHeight="1">
      <c r="A36" s="153" t="s">
        <v>20</v>
      </c>
      <c r="B36" s="176">
        <v>6860</v>
      </c>
      <c r="C36" s="177" t="s">
        <v>84</v>
      </c>
      <c r="D36" s="174">
        <f t="shared" si="0"/>
        <v>6860</v>
      </c>
      <c r="E36" s="178">
        <v>14.15</v>
      </c>
      <c r="F36" s="177">
        <f t="shared" si="1"/>
        <v>97069</v>
      </c>
      <c r="H36" s="172"/>
      <c r="I36" s="173"/>
    </row>
    <row r="37" spans="1:9" s="134" customFormat="1" ht="12.75" customHeight="1">
      <c r="A37" s="153" t="s">
        <v>108</v>
      </c>
      <c r="B37" s="176">
        <v>5384</v>
      </c>
      <c r="C37" s="177" t="s">
        <v>84</v>
      </c>
      <c r="D37" s="174">
        <f t="shared" si="0"/>
        <v>5384</v>
      </c>
      <c r="E37" s="178">
        <v>10.75</v>
      </c>
      <c r="F37" s="177">
        <f t="shared" si="1"/>
        <v>57878</v>
      </c>
      <c r="H37" s="184"/>
      <c r="I37" s="175"/>
    </row>
    <row r="38" spans="1:9" s="134" customFormat="1" ht="12.75" customHeight="1">
      <c r="A38" s="153" t="s">
        <v>97</v>
      </c>
      <c r="B38" s="176">
        <v>2893</v>
      </c>
      <c r="C38" s="177" t="s">
        <v>84</v>
      </c>
      <c r="D38" s="174">
        <f t="shared" si="0"/>
        <v>2893</v>
      </c>
      <c r="E38" s="178">
        <v>5.86</v>
      </c>
      <c r="F38" s="177">
        <f t="shared" si="1"/>
        <v>16952.98</v>
      </c>
      <c r="H38" s="172"/>
      <c r="I38" s="181"/>
    </row>
    <row r="39" spans="1:9" s="134" customFormat="1" ht="12.75" customHeight="1">
      <c r="A39" s="146" t="s">
        <v>123</v>
      </c>
      <c r="B39" s="176">
        <v>77</v>
      </c>
      <c r="C39" s="177" t="s">
        <v>84</v>
      </c>
      <c r="D39" s="174">
        <f t="shared" si="0"/>
        <v>77</v>
      </c>
      <c r="E39" s="178">
        <v>12</v>
      </c>
      <c r="F39" s="177">
        <f t="shared" si="1"/>
        <v>924</v>
      </c>
      <c r="H39" s="172"/>
      <c r="I39" s="175"/>
    </row>
    <row r="40" spans="1:9" s="134" customFormat="1" ht="12.75" customHeight="1">
      <c r="A40" s="146" t="s">
        <v>103</v>
      </c>
      <c r="B40" s="176">
        <v>22568</v>
      </c>
      <c r="C40" s="177" t="s">
        <v>84</v>
      </c>
      <c r="D40" s="174">
        <f t="shared" si="0"/>
        <v>22568</v>
      </c>
      <c r="E40" s="178">
        <v>5.5</v>
      </c>
      <c r="F40" s="177">
        <f t="shared" si="1"/>
        <v>124124</v>
      </c>
      <c r="H40" s="172"/>
      <c r="I40" s="173"/>
    </row>
    <row r="41" spans="1:9" s="134" customFormat="1" ht="12.75" customHeight="1">
      <c r="A41" s="146" t="s">
        <v>128</v>
      </c>
      <c r="B41" s="176">
        <v>0</v>
      </c>
      <c r="C41" s="177" t="s">
        <v>84</v>
      </c>
      <c r="D41" s="174">
        <f t="shared" si="0"/>
        <v>0</v>
      </c>
      <c r="E41" s="178"/>
      <c r="F41" s="177">
        <f t="shared" si="1"/>
        <v>0</v>
      </c>
      <c r="H41" s="172"/>
      <c r="I41" s="173"/>
    </row>
    <row r="42" spans="1:9" s="134" customFormat="1" ht="12.75" customHeight="1">
      <c r="A42" s="153" t="s">
        <v>105</v>
      </c>
      <c r="B42" s="176">
        <v>2503</v>
      </c>
      <c r="C42" s="177" t="s">
        <v>84</v>
      </c>
      <c r="D42" s="174">
        <f t="shared" si="0"/>
        <v>2503</v>
      </c>
      <c r="E42" s="178">
        <v>10</v>
      </c>
      <c r="F42" s="177">
        <f t="shared" si="1"/>
        <v>25030</v>
      </c>
      <c r="H42" s="172"/>
      <c r="I42" s="181"/>
    </row>
    <row r="43" spans="1:9" s="134" customFormat="1" ht="12.75" customHeight="1">
      <c r="A43" s="146" t="s">
        <v>88</v>
      </c>
      <c r="B43" s="176">
        <v>4601</v>
      </c>
      <c r="C43" s="177" t="s">
        <v>84</v>
      </c>
      <c r="D43" s="174">
        <f t="shared" si="0"/>
        <v>4601</v>
      </c>
      <c r="E43" s="178">
        <v>10.07</v>
      </c>
      <c r="F43" s="177">
        <f t="shared" si="1"/>
        <v>46332.07</v>
      </c>
      <c r="H43" s="172"/>
      <c r="I43" s="175"/>
    </row>
    <row r="44" spans="1:9" s="134" customFormat="1" ht="12.75" customHeight="1">
      <c r="A44" s="153" t="s">
        <v>117</v>
      </c>
      <c r="B44" s="176">
        <v>10516</v>
      </c>
      <c r="C44" s="177">
        <v>87</v>
      </c>
      <c r="D44" s="174">
        <f t="shared" si="0"/>
        <v>10603</v>
      </c>
      <c r="E44" s="178">
        <v>64.68</v>
      </c>
      <c r="F44" s="177">
        <f t="shared" si="1"/>
        <v>685802.04</v>
      </c>
      <c r="H44" s="172"/>
      <c r="I44" s="175"/>
    </row>
    <row r="45" spans="1:8" s="134" customFormat="1" ht="12.75" customHeight="1">
      <c r="A45" s="155" t="s">
        <v>89</v>
      </c>
      <c r="B45" s="176">
        <v>2070</v>
      </c>
      <c r="C45" s="177" t="s">
        <v>84</v>
      </c>
      <c r="D45" s="174">
        <f t="shared" si="0"/>
        <v>2070</v>
      </c>
      <c r="E45" s="178">
        <v>10</v>
      </c>
      <c r="F45" s="177">
        <f t="shared" si="1"/>
        <v>20700</v>
      </c>
      <c r="H45" s="162"/>
    </row>
    <row r="46" spans="1:8" s="134" customFormat="1" ht="12.75" customHeight="1">
      <c r="A46" s="155" t="s">
        <v>163</v>
      </c>
      <c r="B46" s="176">
        <v>0</v>
      </c>
      <c r="C46" s="177">
        <v>104356.308</v>
      </c>
      <c r="D46" s="174">
        <f t="shared" si="0"/>
        <v>104356.308</v>
      </c>
      <c r="E46" s="178">
        <v>4.5</v>
      </c>
      <c r="F46" s="177">
        <f t="shared" si="1"/>
        <v>469603.386</v>
      </c>
      <c r="H46" s="162"/>
    </row>
    <row r="47" spans="1:8" s="134" customFormat="1" ht="12.75" customHeight="1">
      <c r="A47" s="153" t="s">
        <v>126</v>
      </c>
      <c r="B47" s="176">
        <v>7987</v>
      </c>
      <c r="C47" s="177" t="s">
        <v>84</v>
      </c>
      <c r="D47" s="174">
        <f t="shared" si="0"/>
        <v>7987</v>
      </c>
      <c r="E47" s="178">
        <v>3</v>
      </c>
      <c r="F47" s="177">
        <f t="shared" si="1"/>
        <v>23961</v>
      </c>
      <c r="H47" s="162"/>
    </row>
    <row r="48" spans="1:8" s="134" customFormat="1" ht="12.75" customHeight="1">
      <c r="A48" s="153" t="s">
        <v>106</v>
      </c>
      <c r="B48" s="176">
        <v>827</v>
      </c>
      <c r="C48" s="177" t="s">
        <v>84</v>
      </c>
      <c r="D48" s="174">
        <f t="shared" si="0"/>
        <v>827</v>
      </c>
      <c r="E48" s="178">
        <v>19.057</v>
      </c>
      <c r="F48" s="177">
        <f t="shared" si="1"/>
        <v>15760.139</v>
      </c>
      <c r="H48" s="162"/>
    </row>
    <row r="49" spans="1:8" s="134" customFormat="1" ht="12.75" customHeight="1">
      <c r="A49" s="152" t="s">
        <v>90</v>
      </c>
      <c r="B49" s="176">
        <v>2899</v>
      </c>
      <c r="C49" s="177" t="s">
        <v>84</v>
      </c>
      <c r="D49" s="174">
        <f t="shared" si="0"/>
        <v>2899</v>
      </c>
      <c r="E49" s="178">
        <v>15.4</v>
      </c>
      <c r="F49" s="177">
        <f t="shared" si="1"/>
        <v>44644.6</v>
      </c>
      <c r="H49" s="162"/>
    </row>
    <row r="50" spans="1:8" s="134" customFormat="1" ht="12.75" customHeight="1">
      <c r="A50" s="155" t="s">
        <v>92</v>
      </c>
      <c r="B50" s="176">
        <v>1105</v>
      </c>
      <c r="C50" s="177" t="s">
        <v>84</v>
      </c>
      <c r="D50" s="174">
        <f t="shared" si="0"/>
        <v>1105</v>
      </c>
      <c r="E50" s="178">
        <v>10</v>
      </c>
      <c r="F50" s="177">
        <f t="shared" si="1"/>
        <v>11050</v>
      </c>
      <c r="H50" s="162"/>
    </row>
    <row r="51" spans="1:8" s="134" customFormat="1" ht="12.75" customHeight="1">
      <c r="A51" s="152" t="s">
        <v>95</v>
      </c>
      <c r="B51" s="176">
        <v>3545</v>
      </c>
      <c r="C51" s="177" t="s">
        <v>84</v>
      </c>
      <c r="D51" s="174">
        <f t="shared" si="0"/>
        <v>3545</v>
      </c>
      <c r="E51" s="178">
        <v>17</v>
      </c>
      <c r="F51" s="177">
        <f t="shared" si="1"/>
        <v>60265</v>
      </c>
      <c r="H51" s="162"/>
    </row>
    <row r="52" spans="1:8" s="134" customFormat="1" ht="12.75" customHeight="1">
      <c r="A52" s="153" t="s">
        <v>107</v>
      </c>
      <c r="B52" s="176">
        <v>2278</v>
      </c>
      <c r="C52" s="177" t="s">
        <v>84</v>
      </c>
      <c r="D52" s="174">
        <f t="shared" si="0"/>
        <v>2278</v>
      </c>
      <c r="E52" s="178">
        <v>6</v>
      </c>
      <c r="F52" s="177">
        <f t="shared" si="1"/>
        <v>13668</v>
      </c>
      <c r="H52" s="162"/>
    </row>
    <row r="53" spans="1:8" s="134" customFormat="1" ht="12.75" customHeight="1">
      <c r="A53" s="146" t="s">
        <v>120</v>
      </c>
      <c r="B53" s="176">
        <v>102574</v>
      </c>
      <c r="C53" s="177">
        <v>265862.442</v>
      </c>
      <c r="D53" s="177">
        <f t="shared" si="0"/>
        <v>368436.442</v>
      </c>
      <c r="E53" s="178">
        <v>9.65</v>
      </c>
      <c r="F53" s="177">
        <f t="shared" si="1"/>
        <v>3555411.6653</v>
      </c>
      <c r="H53" s="162"/>
    </row>
    <row r="54" spans="1:8" s="134" customFormat="1" ht="12.75" customHeight="1">
      <c r="A54" s="155" t="s">
        <v>111</v>
      </c>
      <c r="B54" s="176">
        <v>375</v>
      </c>
      <c r="C54" s="177" t="s">
        <v>84</v>
      </c>
      <c r="D54" s="174">
        <f t="shared" si="0"/>
        <v>375</v>
      </c>
      <c r="E54" s="178">
        <v>20</v>
      </c>
      <c r="F54" s="177">
        <f t="shared" si="1"/>
        <v>7500</v>
      </c>
      <c r="H54" s="162"/>
    </row>
    <row r="55" spans="1:8" s="134" customFormat="1" ht="12.75" customHeight="1">
      <c r="A55" s="152" t="s">
        <v>87</v>
      </c>
      <c r="B55" s="176">
        <v>740</v>
      </c>
      <c r="C55" s="177" t="s">
        <v>84</v>
      </c>
      <c r="D55" s="174">
        <f t="shared" si="0"/>
        <v>740</v>
      </c>
      <c r="E55" s="178">
        <v>5</v>
      </c>
      <c r="F55" s="177">
        <f t="shared" si="1"/>
        <v>3700</v>
      </c>
      <c r="G55" s="185"/>
      <c r="H55" s="162"/>
    </row>
    <row r="56" spans="1:8" s="134" customFormat="1" ht="18" customHeight="1" thickBot="1">
      <c r="A56" s="156" t="s">
        <v>28</v>
      </c>
      <c r="B56" s="186">
        <v>42569</v>
      </c>
      <c r="C56" s="203">
        <v>0.287</v>
      </c>
      <c r="D56" s="187">
        <f t="shared" si="0"/>
        <v>42569.287</v>
      </c>
      <c r="E56" s="188">
        <v>7.615429</v>
      </c>
      <c r="F56" s="187">
        <f t="shared" si="1"/>
        <v>324183.38272912294</v>
      </c>
      <c r="G56" s="189"/>
      <c r="H56" s="162"/>
    </row>
    <row r="57" spans="1:8" s="134" customFormat="1" ht="18" customHeight="1" thickBot="1" thickTop="1">
      <c r="A57" s="190" t="s">
        <v>14</v>
      </c>
      <c r="B57" s="191">
        <f>SUM(B9:B56)</f>
        <v>372491</v>
      </c>
      <c r="C57" s="191">
        <f>SUM(C9:C56)</f>
        <v>635516.951</v>
      </c>
      <c r="D57" s="191">
        <f>+B57+C57</f>
        <v>1008007.951</v>
      </c>
      <c r="E57" s="192"/>
      <c r="F57" s="191">
        <f>SUM(F9:F56)</f>
        <v>10827151.011129122</v>
      </c>
      <c r="H57" s="162"/>
    </row>
    <row r="58" ht="16.5" thickTop="1">
      <c r="G58" s="148"/>
    </row>
    <row r="59" spans="6:8" ht="15.75">
      <c r="F59" s="195"/>
      <c r="H59" s="196"/>
    </row>
    <row r="60" ht="15.75">
      <c r="B60" s="149"/>
    </row>
    <row r="61" spans="4:8" ht="20.25">
      <c r="D61" s="197"/>
      <c r="F61" s="157"/>
      <c r="H61" s="198"/>
    </row>
    <row r="62" ht="15.75">
      <c r="E62" s="199"/>
    </row>
  </sheetData>
  <sheetProtection/>
  <mergeCells count="5">
    <mergeCell ref="A1:B1"/>
    <mergeCell ref="A2:B2"/>
    <mergeCell ref="A3:B3"/>
    <mergeCell ref="A5:F5"/>
    <mergeCell ref="A6:F6"/>
  </mergeCells>
  <printOptions/>
  <pageMargins left="0.7874015748031497" right="0.1968503937007874" top="0.1968503937007874" bottom="0.3937007874015748" header="0.5118110236220472" footer="0.1968503937007874"/>
  <pageSetup horizontalDpi="300" verticalDpi="300" orientation="portrait" paperSize="9" r:id="rId2"/>
  <headerFooter alignWithMargins="0">
    <oddFooter>&amp;C[10]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2008-01-01T08:03:14Z</cp:lastPrinted>
  <dcterms:created xsi:type="dcterms:W3CDTF">1998-04-11T10:07:25Z</dcterms:created>
  <dcterms:modified xsi:type="dcterms:W3CDTF">2010-12-19T09:00:48Z</dcterms:modified>
  <cp:category/>
  <cp:version/>
  <cp:contentType/>
  <cp:contentStatus/>
</cp:coreProperties>
</file>