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tabRatio="880" firstSheet="10" activeTab="10"/>
  </bookViews>
  <sheets>
    <sheet name="10" sheetId="1" state="hidden" r:id="rId1"/>
    <sheet name="16" sheetId="2" state="hidden" r:id="rId2"/>
    <sheet name="17" sheetId="3" state="hidden" r:id="rId3"/>
    <sheet name="25" sheetId="4" state="hidden" r:id="rId4"/>
    <sheet name="29" sheetId="5" state="hidden" r:id="rId5"/>
    <sheet name="33" sheetId="6" state="hidden" r:id="rId6"/>
    <sheet name="72" sheetId="7" state="hidden" r:id="rId7"/>
    <sheet name="79" sheetId="8" state="hidden" r:id="rId8"/>
    <sheet name="93" sheetId="9" state="hidden" r:id="rId9"/>
    <sheet name="Pr2005" sheetId="10" r:id="rId10"/>
    <sheet name="Grf" sheetId="11" r:id="rId11"/>
    <sheet name="Pr Grf" sheetId="12" r:id="rId12"/>
    <sheet name="Pr91-2005" sheetId="13" r:id="rId13"/>
    <sheet name="Grf91-2005" sheetId="14" r:id="rId14"/>
    <sheet name="Govern" sheetId="15" r:id="rId15"/>
    <sheet name="Catch Spp" sheetId="16" r:id="rId16"/>
  </sheets>
  <definedNames>
    <definedName name="_xlnm.Print_Area" localSheetId="15">'Catch Spp'!$A$1:$P$57</definedName>
    <definedName name="_xlnm.Print_Area" localSheetId="14">'Govern'!$A$1:$V$41</definedName>
    <definedName name="_xlnm.Print_Area" localSheetId="10">'Grf'!$A$1:$M$43</definedName>
    <definedName name="_xlnm.Print_Area" localSheetId="13">'Grf91-2005'!$A$1:$P$35</definedName>
    <definedName name="_xlnm.Print_Area" localSheetId="11">'Pr Grf'!$A$1:$E$34</definedName>
    <definedName name="_xlnm.Print_Area" localSheetId="9">'Pr2005'!$A$1:$D$30</definedName>
    <definedName name="_xlnm.Print_Area" localSheetId="12">'Pr91-2005'!$A$1:$Q$28</definedName>
  </definedNames>
  <calcPr fullCalcOnLoad="1"/>
</workbook>
</file>

<file path=xl/comments8.xml><?xml version="1.0" encoding="utf-8"?>
<comments xmlns="http://schemas.openxmlformats.org/spreadsheetml/2006/main">
  <authors>
    <author>a</author>
    <author>Nahed</author>
  </authors>
  <commentList>
    <comment ref="A3" authorId="0">
      <text>
        <r>
          <rPr>
            <b/>
            <sz val="8"/>
            <rFont val="Tahoma"/>
            <family val="2"/>
          </rPr>
          <t>a:</t>
        </r>
        <r>
          <rPr>
            <sz val="8"/>
            <rFont val="Tahoma"/>
            <family val="2"/>
          </rPr>
          <t xml:space="preserve">
جدول النشرة</t>
        </r>
      </text>
    </comment>
    <comment ref="D18" authorId="1">
      <text>
        <r>
          <rPr>
            <b/>
            <sz val="8"/>
            <rFont val="Tahoma"/>
            <family val="2"/>
          </rPr>
          <t>Nahed:</t>
        </r>
        <r>
          <rPr>
            <sz val="8"/>
            <rFont val="Tahoma"/>
            <family val="2"/>
          </rPr>
          <t xml:space="preserve">
مبروك فضى</t>
        </r>
      </text>
    </comment>
  </commentList>
</comments>
</file>

<file path=xl/sharedStrings.xml><?xml version="1.0" encoding="utf-8"?>
<sst xmlns="http://schemas.openxmlformats.org/spreadsheetml/2006/main" count="3069" uniqueCount="429">
  <si>
    <t>ARAB REPUBLIC OF EGYPT</t>
  </si>
  <si>
    <t>GENERAL AUTHORITY FOR</t>
  </si>
  <si>
    <t>FISH RESOURCES DEVELOPMENT</t>
  </si>
  <si>
    <t>Red</t>
  </si>
  <si>
    <t>Manzala</t>
  </si>
  <si>
    <t>Brulous</t>
  </si>
  <si>
    <t>Northern lakes</t>
  </si>
  <si>
    <t>Port Foad</t>
  </si>
  <si>
    <t>Naser</t>
  </si>
  <si>
    <t>Coastal Depressions</t>
  </si>
  <si>
    <t>Inland lakes</t>
  </si>
  <si>
    <t>Prod.</t>
  </si>
  <si>
    <t>Red sea</t>
  </si>
  <si>
    <t>Rice fields</t>
  </si>
  <si>
    <t>Total</t>
  </si>
  <si>
    <t>%</t>
  </si>
  <si>
    <t xml:space="preserve"> </t>
  </si>
  <si>
    <t>Year</t>
  </si>
  <si>
    <t>Species</t>
  </si>
  <si>
    <t>Sources</t>
  </si>
  <si>
    <t>Nile Perch</t>
  </si>
  <si>
    <t>Rayan</t>
  </si>
  <si>
    <t>P.Foad</t>
  </si>
  <si>
    <t>Nile</t>
  </si>
  <si>
    <t>Aquaculture</t>
  </si>
  <si>
    <t>Governmental</t>
  </si>
  <si>
    <t>Others</t>
  </si>
  <si>
    <t>Damietta</t>
  </si>
  <si>
    <t>Dakhlia</t>
  </si>
  <si>
    <t>Gharbia</t>
  </si>
  <si>
    <t>Matrouh</t>
  </si>
  <si>
    <t>Alexandria</t>
  </si>
  <si>
    <t>Behira</t>
  </si>
  <si>
    <t>Port Said</t>
  </si>
  <si>
    <t>Ismailia</t>
  </si>
  <si>
    <t>North of Sinai</t>
  </si>
  <si>
    <t>Suez</t>
  </si>
  <si>
    <t>South of Sinai</t>
  </si>
  <si>
    <t>Kafr El-Sheikh</t>
  </si>
  <si>
    <t>Menofia</t>
  </si>
  <si>
    <t>Fayum</t>
  </si>
  <si>
    <t>Menia</t>
  </si>
  <si>
    <t>Asuit</t>
  </si>
  <si>
    <t>Aswan</t>
  </si>
  <si>
    <t>Sohag</t>
  </si>
  <si>
    <t>Govern.</t>
  </si>
  <si>
    <t>Priv.</t>
  </si>
  <si>
    <t>Cages</t>
  </si>
  <si>
    <t>Cairo &amp; Giza</t>
  </si>
  <si>
    <t xml:space="preserve">             Governorate</t>
  </si>
  <si>
    <t>Valley</t>
  </si>
  <si>
    <t>of Delta</t>
  </si>
  <si>
    <t>Middle</t>
  </si>
  <si>
    <t>Fish production from different resources</t>
  </si>
  <si>
    <t>Resource</t>
  </si>
  <si>
    <t>Bitter &amp; Temsah</t>
  </si>
  <si>
    <t>Marine fisheries</t>
  </si>
  <si>
    <t>Bitter</t>
  </si>
  <si>
    <t>Western</t>
  </si>
  <si>
    <t>Sharkia</t>
  </si>
  <si>
    <t xml:space="preserve">Private </t>
  </si>
  <si>
    <t>Rice</t>
  </si>
  <si>
    <t>Barbel</t>
  </si>
  <si>
    <t>شانشولا</t>
  </si>
  <si>
    <t>سنار</t>
  </si>
  <si>
    <t>كنار</t>
  </si>
  <si>
    <t>Qena</t>
  </si>
  <si>
    <t>سبارس</t>
  </si>
  <si>
    <t>لبيس</t>
  </si>
  <si>
    <t>مياس</t>
  </si>
  <si>
    <t>موسى</t>
  </si>
  <si>
    <t>شرغوش</t>
  </si>
  <si>
    <t>كابوريا</t>
  </si>
  <si>
    <t>حنشان</t>
  </si>
  <si>
    <t>قاروص</t>
  </si>
  <si>
    <t>دنيس</t>
  </si>
  <si>
    <t>فراخ</t>
  </si>
  <si>
    <t>سيوف</t>
  </si>
  <si>
    <t>لوت</t>
  </si>
  <si>
    <t>دراك</t>
  </si>
  <si>
    <t>قشر بياض</t>
  </si>
  <si>
    <t>مغازل</t>
  </si>
  <si>
    <t>سيجان</t>
  </si>
  <si>
    <t>بربونى</t>
  </si>
  <si>
    <t>بطيط</t>
  </si>
  <si>
    <t>سردين</t>
  </si>
  <si>
    <t>جمبرى</t>
  </si>
  <si>
    <t>بساريا</t>
  </si>
  <si>
    <t>نقط</t>
  </si>
  <si>
    <t>بلطى</t>
  </si>
  <si>
    <t>موزه</t>
  </si>
  <si>
    <t>شاخوره</t>
  </si>
  <si>
    <t>بلاميطه</t>
  </si>
  <si>
    <t>Meagre</t>
  </si>
  <si>
    <t>بنى</t>
  </si>
  <si>
    <t>in</t>
  </si>
  <si>
    <t>Red Sea</t>
  </si>
  <si>
    <t>Alex.</t>
  </si>
  <si>
    <t>Coastal lagoons</t>
  </si>
  <si>
    <t>Bardaweel</t>
  </si>
  <si>
    <t>Fish production of Egypt</t>
  </si>
  <si>
    <t>GAFRD Site offices</t>
  </si>
  <si>
    <t>in tons</t>
  </si>
  <si>
    <t>in ton</t>
  </si>
  <si>
    <t>Total in tons</t>
  </si>
  <si>
    <t>-</t>
  </si>
  <si>
    <t>Grand Total</t>
  </si>
  <si>
    <t>Bogue</t>
  </si>
  <si>
    <t>white seabream</t>
  </si>
  <si>
    <t>Shells nei, marine</t>
  </si>
  <si>
    <t>Sigans</t>
  </si>
  <si>
    <t>Sole, common</t>
  </si>
  <si>
    <t>Gilthead seabream</t>
  </si>
  <si>
    <t>Sphyraena spp</t>
  </si>
  <si>
    <t>Grey gurnard</t>
  </si>
  <si>
    <t>European seabass</t>
  </si>
  <si>
    <t>Spotted seabass</t>
  </si>
  <si>
    <t>Groupers nei</t>
  </si>
  <si>
    <t>Red porgy</t>
  </si>
  <si>
    <t>Largehead hairtail</t>
  </si>
  <si>
    <t>False scad</t>
  </si>
  <si>
    <t>kawakawa</t>
  </si>
  <si>
    <t>Mullets nei</t>
  </si>
  <si>
    <t>Bluefish</t>
  </si>
  <si>
    <t>Sardinellas nei</t>
  </si>
  <si>
    <t>Crabes</t>
  </si>
  <si>
    <t>Sharks, rays, skates, etc</t>
  </si>
  <si>
    <t>Snapper nei</t>
  </si>
  <si>
    <t>Threadfin breams</t>
  </si>
  <si>
    <t>Red mullet</t>
  </si>
  <si>
    <t>Brushtooth lizasrdfish</t>
  </si>
  <si>
    <t>Cuttlefish, common</t>
  </si>
  <si>
    <t>Tylosurus spp</t>
  </si>
  <si>
    <t>Emperors(=Scavengers)</t>
  </si>
  <si>
    <t>Narrow - barred spanish mackerel</t>
  </si>
  <si>
    <t>Indian mackerel</t>
  </si>
  <si>
    <t>Chub mackerel</t>
  </si>
  <si>
    <t>Crabes nei, marine</t>
  </si>
  <si>
    <t>وقار</t>
  </si>
  <si>
    <t>عائلة بورية</t>
  </si>
  <si>
    <t>Shrimps nei, Penaeus</t>
  </si>
  <si>
    <t>Eels nei, river</t>
  </si>
  <si>
    <t>Catfishes, torpedo-shaped</t>
  </si>
  <si>
    <t>Tilapias nei</t>
  </si>
  <si>
    <t>Caranx spp</t>
  </si>
  <si>
    <t>Grass carp(=White amur)</t>
  </si>
  <si>
    <t>Saddled seabream</t>
  </si>
  <si>
    <t>Nile carp</t>
  </si>
  <si>
    <t>قراميط</t>
  </si>
  <si>
    <t>بياض</t>
  </si>
  <si>
    <t>مبروك حشائش</t>
  </si>
  <si>
    <t>Catfishes,upsidedown</t>
  </si>
  <si>
    <t>Silverside(=Sand smelts)</t>
  </si>
  <si>
    <t>Common carp</t>
  </si>
  <si>
    <t>مبروك عادى</t>
  </si>
  <si>
    <t>Sea cucumbers nei</t>
  </si>
  <si>
    <t>خيار البحر</t>
  </si>
  <si>
    <t>Qaliubia</t>
  </si>
  <si>
    <t>Eastern</t>
  </si>
  <si>
    <t>Beni Suief</t>
  </si>
  <si>
    <t>Capture fisheries</t>
  </si>
  <si>
    <t>Fish farming</t>
  </si>
  <si>
    <t>Change in fish production during</t>
  </si>
  <si>
    <t>River weed ctrl</t>
  </si>
  <si>
    <t>Grass Carp production counted for River &amp; canals catch</t>
  </si>
  <si>
    <t>Toshka</t>
  </si>
  <si>
    <t>Intensive culture</t>
  </si>
  <si>
    <t>New Valley</t>
  </si>
  <si>
    <t>Intensive</t>
  </si>
  <si>
    <t>Med. sea</t>
  </si>
  <si>
    <t>Edko</t>
  </si>
  <si>
    <t>Maryout</t>
  </si>
  <si>
    <t>Qarun</t>
  </si>
  <si>
    <t>Nile River</t>
  </si>
  <si>
    <t>Aquacultur</t>
  </si>
  <si>
    <t>Med. Sea</t>
  </si>
  <si>
    <t>River Nile</t>
  </si>
  <si>
    <t>Med.</t>
  </si>
  <si>
    <r>
      <t>Production</t>
    </r>
    <r>
      <rPr>
        <sz val="18"/>
        <color indexed="12"/>
        <rFont val="Times New Roman"/>
        <family val="1"/>
      </rPr>
      <t xml:space="preserve"> </t>
    </r>
    <r>
      <rPr>
        <vertAlign val="superscript"/>
        <sz val="14"/>
        <color indexed="12"/>
        <rFont val="Times New Roman"/>
        <family val="1"/>
      </rPr>
      <t>*</t>
    </r>
  </si>
  <si>
    <r>
      <t xml:space="preserve">* </t>
    </r>
    <r>
      <rPr>
        <sz val="18"/>
        <color indexed="30"/>
        <rFont val="Times New Roman"/>
        <family val="1"/>
      </rPr>
      <t>in tons</t>
    </r>
  </si>
  <si>
    <r>
      <t>Quantity in thousand tons approximated to the 1</t>
    </r>
    <r>
      <rPr>
        <u val="single"/>
        <vertAlign val="superscript"/>
        <sz val="18"/>
        <rFont val="Times New Roman"/>
        <family val="1"/>
      </rPr>
      <t>st</t>
    </r>
    <r>
      <rPr>
        <sz val="14"/>
        <rFont val="Times New Roman"/>
        <family val="1"/>
      </rPr>
      <t xml:space="preserve"> decimal number</t>
    </r>
  </si>
  <si>
    <t>Northern Lakes</t>
  </si>
  <si>
    <t>Coastal Lagoons</t>
  </si>
  <si>
    <t>Inland Lakes</t>
  </si>
  <si>
    <t>Marine Fisheries</t>
  </si>
  <si>
    <t>Silver carp</t>
  </si>
  <si>
    <t>Fish production in different Governorate</t>
  </si>
  <si>
    <t>Catch by species</t>
  </si>
  <si>
    <t>باغة</t>
  </si>
  <si>
    <t>حريد</t>
  </si>
  <si>
    <t>خنازير</t>
  </si>
  <si>
    <t>درينى</t>
  </si>
  <si>
    <t>كلمارى</t>
  </si>
  <si>
    <t>وزفة</t>
  </si>
  <si>
    <t>اصناف اخرى</t>
  </si>
  <si>
    <t>الاجمالى</t>
  </si>
  <si>
    <t>بهار</t>
  </si>
  <si>
    <t>شخرم</t>
  </si>
  <si>
    <t>استاكوزا</t>
  </si>
  <si>
    <t>شعور</t>
  </si>
  <si>
    <t>محسنى</t>
  </si>
  <si>
    <t>اسماك غضروفية</t>
  </si>
  <si>
    <t>لوجن</t>
  </si>
  <si>
    <t>-10-</t>
  </si>
  <si>
    <t>الهيئة العامة لتنمية الثروة السمكية</t>
  </si>
  <si>
    <t>الانتاج السمكى مصنفا ومتوسط السعر والقيمة</t>
  </si>
  <si>
    <t>لعام 2005</t>
  </si>
  <si>
    <t>الصنف</t>
  </si>
  <si>
    <t>بحر متوسط</t>
  </si>
  <si>
    <t>بحر احمر</t>
  </si>
  <si>
    <t>بحيرات</t>
  </si>
  <si>
    <t>نهر النيل</t>
  </si>
  <si>
    <t>المصايد الطبيعية بالطن</t>
  </si>
  <si>
    <t>الاستزراع السمكى بالطن</t>
  </si>
  <si>
    <t>اجمالى الانتاج بالطن</t>
  </si>
  <si>
    <t>متوسط سعر الكيلو بالجنيه</t>
  </si>
  <si>
    <t xml:space="preserve">اجمالى القيمة بالألف جنيه </t>
  </si>
  <si>
    <t>اسكمبرى</t>
  </si>
  <si>
    <t>باغه</t>
  </si>
  <si>
    <t>استاكوزا + جمبرى</t>
  </si>
  <si>
    <t xml:space="preserve">دراك </t>
  </si>
  <si>
    <t>سيبيا(سبيط)</t>
  </si>
  <si>
    <t xml:space="preserve">سيجان </t>
  </si>
  <si>
    <t>بهار + شخرم</t>
  </si>
  <si>
    <t>شك الزور</t>
  </si>
  <si>
    <t>شيلان</t>
  </si>
  <si>
    <t>صرع</t>
  </si>
  <si>
    <t>قواقع ومحاريات</t>
  </si>
  <si>
    <t>مبروك*</t>
  </si>
  <si>
    <t xml:space="preserve"> مبروك عادى</t>
  </si>
  <si>
    <t>مرجان ( حفار )</t>
  </si>
  <si>
    <t>مكرونة (حارت)</t>
  </si>
  <si>
    <t>موزة</t>
  </si>
  <si>
    <t xml:space="preserve">وقار </t>
  </si>
  <si>
    <t>اخرى + وزفة + حريد + كلمارى</t>
  </si>
  <si>
    <t>تم اضافة بعض الاصناف الى أصناف اخرى وهى ((  سبارس فى البحر المتوسط  -  خرمان ودرينى ومحسنى فى البحر الاحمر- لاشته ولوجن  فى البحيرات ))</t>
  </si>
  <si>
    <t>* مبروك غير مصنف</t>
  </si>
  <si>
    <t>* مصدر بيان الأسعار هو سوق العبور ومناطق الهيئة</t>
  </si>
  <si>
    <t xml:space="preserve">الانتاج السمكى من المصايد الطبيعية فى مناطق الثروة السمكية ومحافظاتها  </t>
  </si>
  <si>
    <t xml:space="preserve">عام  2005  </t>
  </si>
  <si>
    <t>الانتاج بالطن</t>
  </si>
  <si>
    <t>المنطقة</t>
  </si>
  <si>
    <t>المحافظات</t>
  </si>
  <si>
    <t>البحار</t>
  </si>
  <si>
    <t>البحيرات الشمالية</t>
  </si>
  <si>
    <t>المنخفضات الساحلية</t>
  </si>
  <si>
    <t>البحيرات الداخليه</t>
  </si>
  <si>
    <t>نهرالنيل وفروعه</t>
  </si>
  <si>
    <t xml:space="preserve">المنزلة </t>
  </si>
  <si>
    <t>البرلس</t>
  </si>
  <si>
    <t>ادكو</t>
  </si>
  <si>
    <t>مريوط</t>
  </si>
  <si>
    <t>ملاحة بورفؤاد</t>
  </si>
  <si>
    <t>البردويل</t>
  </si>
  <si>
    <t>قارون</t>
  </si>
  <si>
    <t>الريان</t>
  </si>
  <si>
    <t>ناصر</t>
  </si>
  <si>
    <t>مفيض توشكى</t>
  </si>
  <si>
    <t>المرة والتمساح</t>
  </si>
  <si>
    <t>دمياط</t>
  </si>
  <si>
    <t>الدقهلية</t>
  </si>
  <si>
    <t>الشرقية</t>
  </si>
  <si>
    <t>اجمالى المنطقة</t>
  </si>
  <si>
    <t>وسط الدلتا</t>
  </si>
  <si>
    <t>كفر الشيخ</t>
  </si>
  <si>
    <t>الغربية</t>
  </si>
  <si>
    <t>المنوفية</t>
  </si>
  <si>
    <t>القليوبية</t>
  </si>
  <si>
    <t>البحر الاحمر</t>
  </si>
  <si>
    <t>السويس</t>
  </si>
  <si>
    <t>جنوب سيناء</t>
  </si>
  <si>
    <t>الغربيه</t>
  </si>
  <si>
    <t>الاسكندرية</t>
  </si>
  <si>
    <t>البحيرة</t>
  </si>
  <si>
    <t>مطروح</t>
  </si>
  <si>
    <t>اسوان</t>
  </si>
  <si>
    <t>سوهاج</t>
  </si>
  <si>
    <t>قنا</t>
  </si>
  <si>
    <t>الشرقيه</t>
  </si>
  <si>
    <t>بورسعيد</t>
  </si>
  <si>
    <t>شمال سيناء</t>
  </si>
  <si>
    <t>الاسماعيلية</t>
  </si>
  <si>
    <t>وادى النيل</t>
  </si>
  <si>
    <t>القاهرة</t>
  </si>
  <si>
    <t>الجيزة</t>
  </si>
  <si>
    <t>الفيوم</t>
  </si>
  <si>
    <t>بني سويف</t>
  </si>
  <si>
    <t>المنيا</t>
  </si>
  <si>
    <t>اسيوط</t>
  </si>
  <si>
    <t>الوادى الجديد</t>
  </si>
  <si>
    <t>الاجمالى العام</t>
  </si>
  <si>
    <t xml:space="preserve">انتاج  المزارع السمكية فى مناطق الثروة السمكية ومحافظاتها  </t>
  </si>
  <si>
    <t>عام 2005</t>
  </si>
  <si>
    <t>المناطق</t>
  </si>
  <si>
    <t>المزارع الحكومية</t>
  </si>
  <si>
    <t>المزارع الاهلية الملك</t>
  </si>
  <si>
    <t>المزارع الاهلية الايجار</t>
  </si>
  <si>
    <t>المزارع الاهلية المؤقتة</t>
  </si>
  <si>
    <t>الاقفاص العائمة</t>
  </si>
  <si>
    <t>الاستزراع فى حقول الارز</t>
  </si>
  <si>
    <t>* الاستزراع المكثف</t>
  </si>
  <si>
    <t xml:space="preserve">الاجمالى </t>
  </si>
  <si>
    <t>* احواض اسمنتيه</t>
  </si>
  <si>
    <t>الصـنـف</t>
  </si>
  <si>
    <t>أصناف اخرى</t>
  </si>
  <si>
    <t>المنزلة</t>
  </si>
  <si>
    <t>إجمالى الانتاج السمكى فى البحيرات مصنفاً</t>
  </si>
  <si>
    <t xml:space="preserve"> عام 2005</t>
  </si>
  <si>
    <t>ملاحة بور فؤاد</t>
  </si>
  <si>
    <t>الريان 
3،1</t>
  </si>
  <si>
    <t>مفيض  توشكى</t>
  </si>
  <si>
    <t>الإجمالى</t>
  </si>
  <si>
    <t>خرمان</t>
  </si>
  <si>
    <t>سيبيا</t>
  </si>
  <si>
    <t>لاشتة</t>
  </si>
  <si>
    <t>مكرونة</t>
  </si>
  <si>
    <t>الانتاج السمكى من الاستزراع حسب الاصناف من المصادر المختلفة</t>
  </si>
  <si>
    <t>حكومى</t>
  </si>
  <si>
    <t>اهلى</t>
  </si>
  <si>
    <t>اقفاص</t>
  </si>
  <si>
    <t>استزراع فى حقول الارز</t>
  </si>
  <si>
    <t>الاستزراع المكثف</t>
  </si>
  <si>
    <t xml:space="preserve">اجمالى الانتاج </t>
  </si>
  <si>
    <t>مياه شروب</t>
  </si>
  <si>
    <t>مياه عذبه</t>
  </si>
  <si>
    <t>بلطي</t>
  </si>
  <si>
    <t>مبروك *</t>
  </si>
  <si>
    <t>الاجمالي</t>
  </si>
  <si>
    <t>* مبروك غير مصنف ( حشائش - كبير الرأس - فضى -اسود )</t>
  </si>
  <si>
    <t>in 2005</t>
  </si>
  <si>
    <t>(1991 : 2005)</t>
  </si>
  <si>
    <t>from different sources in 2005</t>
  </si>
  <si>
    <r>
      <t>Quantity in thousand tons approximated to the 1</t>
    </r>
    <r>
      <rPr>
        <u val="single"/>
        <vertAlign val="superscript"/>
        <sz val="12"/>
        <rFont val="Times New Roman"/>
        <family val="1"/>
      </rPr>
      <t>st</t>
    </r>
    <r>
      <rPr>
        <sz val="12"/>
        <rFont val="Times New Roman"/>
        <family val="1"/>
      </rPr>
      <t xml:space="preserve"> decimal number</t>
    </r>
  </si>
  <si>
    <t>إجمالى الأهلية</t>
  </si>
  <si>
    <t>Aqua</t>
  </si>
  <si>
    <t>Catch</t>
  </si>
  <si>
    <t>كمية</t>
  </si>
  <si>
    <t>قيمة</t>
  </si>
  <si>
    <t>سعر</t>
  </si>
  <si>
    <t>توزيع وحدات الصيد الآليه العامله بالمياه البحريه</t>
  </si>
  <si>
    <t>طبقا لقوتها بالحصان والحرفه المستخدمة</t>
  </si>
  <si>
    <t>قوة الموتور  بالحصان</t>
  </si>
  <si>
    <t>البحرالمتوسط</t>
  </si>
  <si>
    <t>البحر الأحمر</t>
  </si>
  <si>
    <t>جر</t>
  </si>
  <si>
    <t>قانونية</t>
  </si>
  <si>
    <t>دبه</t>
  </si>
  <si>
    <t>حرف اخرى</t>
  </si>
  <si>
    <t>الجمله</t>
  </si>
  <si>
    <t xml:space="preserve">جر </t>
  </si>
  <si>
    <t>حتى 10 حصان</t>
  </si>
  <si>
    <t>اكثر من 20:10</t>
  </si>
  <si>
    <t>اكثر من 30:20</t>
  </si>
  <si>
    <t>اكثر من 50:30</t>
  </si>
  <si>
    <t>اكثر من 100:50</t>
  </si>
  <si>
    <t>اكثر من 150:100</t>
  </si>
  <si>
    <t>اكثر من 200:150</t>
  </si>
  <si>
    <t>اكثر من 250:200</t>
  </si>
  <si>
    <t>اكثر من 300:250</t>
  </si>
  <si>
    <t>اكثر من 400:300</t>
  </si>
  <si>
    <t>اكثر من 500:400</t>
  </si>
  <si>
    <t>اكثر من 600:500</t>
  </si>
  <si>
    <t>اكثر من 700:600</t>
  </si>
  <si>
    <t>اكثر من 800:700</t>
  </si>
  <si>
    <t>اكثر من 800 حصان</t>
  </si>
  <si>
    <t>صيد حر</t>
  </si>
  <si>
    <t>-25 -</t>
  </si>
  <si>
    <t>إنتاج البحر المتوسط حسب مواقع الانزال والصنف</t>
  </si>
  <si>
    <t>منطقة دمياط</t>
  </si>
  <si>
    <t>المنطقة الغربية</t>
  </si>
  <si>
    <t>المنطقة الشرقية</t>
  </si>
  <si>
    <t>منطقة وسط الدلتا</t>
  </si>
  <si>
    <t>عزبة البرج</t>
  </si>
  <si>
    <t>الاسكندرية والمكس</t>
  </si>
  <si>
    <t>ابوقير</t>
  </si>
  <si>
    <t>رشيد</t>
  </si>
  <si>
    <t>المعدية</t>
  </si>
  <si>
    <t>مرسى مطروح</t>
  </si>
  <si>
    <t>العريش</t>
  </si>
  <si>
    <t>برج البرلس</t>
  </si>
  <si>
    <t>اسماك غضروفيه</t>
  </si>
  <si>
    <t>سيبيا (سبيط)</t>
  </si>
  <si>
    <t>مكرونه ( حارت )</t>
  </si>
  <si>
    <t>وقار ( كشر )</t>
  </si>
  <si>
    <t>-29 -</t>
  </si>
  <si>
    <t>انتاج البحر الأحمر حسب مواقع الانزال والصنف</t>
  </si>
  <si>
    <t>لعام  2005</t>
  </si>
  <si>
    <t>خليج السويس</t>
  </si>
  <si>
    <t>خليج العقبة</t>
  </si>
  <si>
    <t>الاتكه</t>
  </si>
  <si>
    <t>السلخانه</t>
  </si>
  <si>
    <t>الطور</t>
  </si>
  <si>
    <t>راس غارب</t>
  </si>
  <si>
    <t>خارج المياه الاقليمية</t>
  </si>
  <si>
    <t>الأتكة</t>
  </si>
  <si>
    <t>الغردقة</t>
  </si>
  <si>
    <t>برانيس</t>
  </si>
  <si>
    <t>سفاجا</t>
  </si>
  <si>
    <t>القصير</t>
  </si>
  <si>
    <t>ابو رماد</t>
  </si>
  <si>
    <t>شلاتين</t>
  </si>
  <si>
    <t>دهب</t>
  </si>
  <si>
    <t>نويبع</t>
  </si>
  <si>
    <t>خيارالبحر</t>
  </si>
  <si>
    <t>سيجان (بطاطه)</t>
  </si>
  <si>
    <t>مرجان (حفار)</t>
  </si>
  <si>
    <t>وقار (كشر)</t>
  </si>
  <si>
    <t>* اصناف اخرى</t>
  </si>
  <si>
    <t>الهيئة العامة لتنمية الثروة السـمكية</t>
  </si>
  <si>
    <t>انتاج نهر النيل طبقاً للمصدر مصنفاً</t>
  </si>
  <si>
    <t>منطقة وادى النيل</t>
  </si>
  <si>
    <t>منطقة اسوان</t>
  </si>
  <si>
    <t>المنصورة</t>
  </si>
  <si>
    <t>الزقازيق</t>
  </si>
  <si>
    <t>دسوق</t>
  </si>
  <si>
    <t>كفر الزيات</t>
  </si>
  <si>
    <t>منوف</t>
  </si>
  <si>
    <t>القناطر</t>
  </si>
  <si>
    <t>بنها</t>
  </si>
  <si>
    <t xml:space="preserve">  ترعة السلام</t>
  </si>
  <si>
    <t>ترعة الاسماعيلية *</t>
  </si>
  <si>
    <t>بنى سويف</t>
  </si>
  <si>
    <t xml:space="preserve">المنيا </t>
  </si>
  <si>
    <t xml:space="preserve">اسيوط </t>
  </si>
  <si>
    <t xml:space="preserve">سوهاج </t>
  </si>
  <si>
    <t>حنشـان</t>
  </si>
  <si>
    <t xml:space="preserve">شيلان   </t>
  </si>
  <si>
    <t xml:space="preserve">  تشمل المنطقة من محافظة الاسماعيلية الى نهاية الترعة ببورسعيد  * </t>
  </si>
  <si>
    <t>قليوب</t>
  </si>
</sst>
</file>

<file path=xl/styles.xml><?xml version="1.0" encoding="utf-8"?>
<styleSheet xmlns="http://schemas.openxmlformats.org/spreadsheetml/2006/main">
  <numFmts count="19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#,##0\ &quot;ج.م.&quot;_-;#,##0\ &quot;ج.م.&quot;\-"/>
    <numFmt numFmtId="165" formatCode="#,##0\ &quot;ج.م.&quot;_-;[Red]#,##0\ &quot;ج.م.&quot;\-"/>
    <numFmt numFmtId="166" formatCode="#,##0.00\ &quot;ج.م.&quot;_-;#,##0.00\ &quot;ج.م.&quot;\-"/>
    <numFmt numFmtId="167" formatCode="#,##0.00\ &quot;ج.م.&quot;_-;[Red]#,##0.00\ &quot;ج.م.&quot;\-"/>
    <numFmt numFmtId="168" formatCode="_-* #,##0\ &quot;ج.م.&quot;_-;_-* #,##0\ &quot;ج.م.&quot;\-;_-* &quot;-&quot;\ &quot;ج.م.&quot;_-;_-@_-"/>
    <numFmt numFmtId="169" formatCode="_-* #,##0\ _ج_._م_._‏_-;_-* #,##0\ _ج_._م_._‏\-;_-* &quot;-&quot;\ _ج_._م_._‏_-;_-@_-"/>
    <numFmt numFmtId="170" formatCode="_-* #,##0.00\ &quot;ج.م.&quot;_-;_-* #,##0.00\ &quot;ج.م.&quot;\-;_-* &quot;-&quot;??\ &quot;ج.م.&quot;_-;_-@_-"/>
    <numFmt numFmtId="171" formatCode="_-* #,##0.00\ _ج_._م_._‏_-;_-* #,##0.00\ _ج_._م_._‏\-;_-* &quot;-&quot;??\ _ج_._م_._‏_-;_-@_-"/>
    <numFmt numFmtId="172" formatCode="0.0"/>
    <numFmt numFmtId="173" formatCode="0.000"/>
    <numFmt numFmtId="174" formatCode="0.00000"/>
  </numFmts>
  <fonts count="163">
    <font>
      <sz val="10"/>
      <name val="Arial"/>
      <family val="0"/>
    </font>
    <font>
      <sz val="10"/>
      <color indexed="8"/>
      <name val="Arabic Transparent"/>
      <family val="2"/>
    </font>
    <font>
      <sz val="18"/>
      <color indexed="30"/>
      <name val="Arial"/>
      <family val="2"/>
    </font>
    <font>
      <sz val="10"/>
      <color indexed="30"/>
      <name val="Arial"/>
      <family val="2"/>
    </font>
    <font>
      <sz val="14"/>
      <name val="Arial"/>
      <family val="2"/>
    </font>
    <font>
      <sz val="22"/>
      <color indexed="12"/>
      <name val="Arial"/>
      <family val="2"/>
    </font>
    <font>
      <sz val="10"/>
      <color indexed="18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6"/>
      <color indexed="18"/>
      <name val="Arial"/>
      <family val="2"/>
    </font>
    <font>
      <sz val="10"/>
      <color indexed="48"/>
      <name val="Times New Roman"/>
      <family val="1"/>
    </font>
    <font>
      <sz val="10"/>
      <name val="Times New Roman"/>
      <family val="1"/>
    </font>
    <font>
      <sz val="20"/>
      <color indexed="30"/>
      <name val="Times New Roman"/>
      <family val="1"/>
    </font>
    <font>
      <sz val="10"/>
      <color indexed="30"/>
      <name val="Times New Roman"/>
      <family val="1"/>
    </font>
    <font>
      <sz val="18"/>
      <color indexed="30"/>
      <name val="Times New Roman"/>
      <family val="1"/>
    </font>
    <font>
      <sz val="18"/>
      <color indexed="12"/>
      <name val="Times New Roman"/>
      <family val="1"/>
    </font>
    <font>
      <vertAlign val="superscript"/>
      <sz val="14"/>
      <color indexed="12"/>
      <name val="Times New Roman"/>
      <family val="1"/>
    </font>
    <font>
      <sz val="16"/>
      <color indexed="30"/>
      <name val="Times New Roman"/>
      <family val="1"/>
    </font>
    <font>
      <sz val="16"/>
      <name val="Times New Roman"/>
      <family val="1"/>
    </font>
    <font>
      <sz val="24"/>
      <color indexed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26"/>
      <color indexed="12"/>
      <name val="Times New Roman"/>
      <family val="1"/>
    </font>
    <font>
      <sz val="20"/>
      <color indexed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4"/>
      <color indexed="58"/>
      <name val="Times New Roman"/>
      <family val="1"/>
    </font>
    <font>
      <sz val="12"/>
      <color indexed="58"/>
      <name val="Times New Roman"/>
      <family val="1"/>
    </font>
    <font>
      <sz val="12"/>
      <color indexed="59"/>
      <name val="Times New Roman"/>
      <family val="1"/>
    </font>
    <font>
      <sz val="10"/>
      <color indexed="59"/>
      <name val="Times New Roman"/>
      <family val="1"/>
    </font>
    <font>
      <sz val="14"/>
      <color indexed="53"/>
      <name val="Times New Roman"/>
      <family val="1"/>
    </font>
    <font>
      <sz val="12"/>
      <color indexed="53"/>
      <name val="Times New Roman"/>
      <family val="1"/>
    </font>
    <font>
      <sz val="10"/>
      <color indexed="53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sz val="11"/>
      <color indexed="20"/>
      <name val="Times New Roman"/>
      <family val="1"/>
    </font>
    <font>
      <b/>
      <sz val="10"/>
      <color indexed="58"/>
      <name val="Times New Roman"/>
      <family val="1"/>
    </font>
    <font>
      <sz val="11"/>
      <color indexed="58"/>
      <name val="Times New Roman"/>
      <family val="1"/>
    </font>
    <font>
      <sz val="10"/>
      <color indexed="58"/>
      <name val="Times New Roman"/>
      <family val="1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10"/>
      <name val="Times New Roman"/>
      <family val="1"/>
    </font>
    <font>
      <u val="single"/>
      <vertAlign val="superscript"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8"/>
      <color indexed="18"/>
      <name val="Times New Roman"/>
      <family val="1"/>
    </font>
    <font>
      <b/>
      <sz val="10"/>
      <color indexed="12"/>
      <name val="Times New Roman"/>
      <family val="1"/>
    </font>
    <font>
      <sz val="8"/>
      <color indexed="18"/>
      <name val="Times New Roman"/>
      <family val="1"/>
    </font>
    <font>
      <sz val="9"/>
      <color indexed="18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18"/>
      <name val="Times New Roman"/>
      <family val="1"/>
    </font>
    <font>
      <sz val="11"/>
      <color indexed="18"/>
      <name val="Times New Roman"/>
      <family val="1"/>
    </font>
    <font>
      <b/>
      <sz val="9"/>
      <color indexed="20"/>
      <name val="Times New Roman"/>
      <family val="1"/>
    </font>
    <font>
      <b/>
      <sz val="8"/>
      <color indexed="20"/>
      <name val="Times New Roman"/>
      <family val="1"/>
    </font>
    <font>
      <b/>
      <sz val="10"/>
      <color indexed="20"/>
      <name val="Times New Roman"/>
      <family val="1"/>
    </font>
    <font>
      <b/>
      <sz val="8"/>
      <color indexed="58"/>
      <name val="Times New Roman"/>
      <family val="1"/>
    </font>
    <font>
      <b/>
      <sz val="8"/>
      <color indexed="10"/>
      <name val="Times New Roman"/>
      <family val="1"/>
    </font>
    <font>
      <sz val="11"/>
      <color indexed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9"/>
      <color indexed="58"/>
      <name val="Times New Roman"/>
      <family val="1"/>
    </font>
    <font>
      <b/>
      <sz val="7"/>
      <color indexed="18"/>
      <name val="Times New Roman"/>
      <family val="1"/>
    </font>
    <font>
      <sz val="18"/>
      <color indexed="20"/>
      <name val="Times New Roman"/>
      <family val="1"/>
    </font>
    <font>
      <sz val="9"/>
      <color indexed="20"/>
      <name val="Times New Roman"/>
      <family val="1"/>
    </font>
    <font>
      <b/>
      <sz val="9"/>
      <name val="Times New Roman"/>
      <family val="1"/>
    </font>
    <font>
      <sz val="9"/>
      <color indexed="48"/>
      <name val="Times New Roman"/>
      <family val="1"/>
    </font>
    <font>
      <b/>
      <sz val="5"/>
      <color indexed="17"/>
      <name val="Times New Roman"/>
      <family val="1"/>
    </font>
    <font>
      <sz val="10"/>
      <color indexed="17"/>
      <name val="Times New Roman"/>
      <family val="1"/>
    </font>
    <font>
      <sz val="9"/>
      <color indexed="12"/>
      <name val="Times New Roman"/>
      <family val="1"/>
    </font>
    <font>
      <sz val="11"/>
      <color indexed="48"/>
      <name val="Times New Roman"/>
      <family val="1"/>
    </font>
    <font>
      <sz val="11"/>
      <color indexed="14"/>
      <name val="Times New Roman"/>
      <family val="1"/>
    </font>
    <font>
      <sz val="11"/>
      <color indexed="17"/>
      <name val="Times New Roman"/>
      <family val="1"/>
    </font>
    <font>
      <sz val="10"/>
      <color indexed="14"/>
      <name val="Times New Roman"/>
      <family val="1"/>
    </font>
    <font>
      <sz val="9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7"/>
      <color indexed="48"/>
      <name val="Times New Roman"/>
      <family val="1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6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name val="Courier"/>
      <family val="3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53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vertAlign val="superscript"/>
      <sz val="12"/>
      <name val="Times New Roman"/>
      <family val="1"/>
    </font>
    <font>
      <sz val="10.5"/>
      <name val="Arial"/>
      <family val="2"/>
    </font>
    <font>
      <sz val="24"/>
      <name val="Arabic Transparent"/>
      <family val="0"/>
    </font>
    <font>
      <sz val="22"/>
      <color indexed="8"/>
      <name val="Arial"/>
      <family val="2"/>
    </font>
    <font>
      <sz val="9.5"/>
      <color indexed="8"/>
      <name val="Arial"/>
      <family val="2"/>
    </font>
    <font>
      <sz val="12"/>
      <name val="Arabic Transparent"/>
      <family val="0"/>
    </font>
    <font>
      <sz val="22"/>
      <name val="Arial"/>
      <family val="2"/>
    </font>
    <font>
      <sz val="11"/>
      <color indexed="17"/>
      <name val="Arial"/>
      <family val="2"/>
    </font>
    <font>
      <sz val="10"/>
      <color indexed="9"/>
      <name val="Times New Roman"/>
      <family val="1"/>
    </font>
    <font>
      <b/>
      <sz val="12"/>
      <color indexed="17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ransparent"/>
      <family val="2"/>
    </font>
    <font>
      <b/>
      <sz val="13"/>
      <color indexed="56"/>
      <name val="Arabic Transparent"/>
      <family val="2"/>
    </font>
    <font>
      <b/>
      <sz val="11"/>
      <color indexed="56"/>
      <name val="Arabic Transparent"/>
      <family val="2"/>
    </font>
    <font>
      <sz val="10"/>
      <color indexed="17"/>
      <name val="Arabic Transparent"/>
      <family val="2"/>
    </font>
    <font>
      <sz val="10"/>
      <color indexed="20"/>
      <name val="Arabic Transparent"/>
      <family val="2"/>
    </font>
    <font>
      <sz val="10"/>
      <color indexed="60"/>
      <name val="Arabic Transparent"/>
      <family val="2"/>
    </font>
    <font>
      <sz val="10"/>
      <color indexed="62"/>
      <name val="Arabic Transparent"/>
      <family val="2"/>
    </font>
    <font>
      <b/>
      <sz val="10"/>
      <color indexed="63"/>
      <name val="Arabic Transparent"/>
      <family val="2"/>
    </font>
    <font>
      <b/>
      <sz val="10"/>
      <color indexed="52"/>
      <name val="Arabic Transparent"/>
      <family val="2"/>
    </font>
    <font>
      <sz val="10"/>
      <color indexed="52"/>
      <name val="Arabic Transparent"/>
      <family val="2"/>
    </font>
    <font>
      <b/>
      <sz val="10"/>
      <color indexed="9"/>
      <name val="Arabic Transparent"/>
      <family val="2"/>
    </font>
    <font>
      <sz val="10"/>
      <color indexed="10"/>
      <name val="Arabic Transparent"/>
      <family val="2"/>
    </font>
    <font>
      <i/>
      <sz val="10"/>
      <color indexed="23"/>
      <name val="Arabic Transparent"/>
      <family val="2"/>
    </font>
    <font>
      <b/>
      <sz val="10"/>
      <color indexed="8"/>
      <name val="Arabic Transparent"/>
      <family val="2"/>
    </font>
    <font>
      <sz val="10"/>
      <color indexed="9"/>
      <name val="Arabic Transparent"/>
      <family val="2"/>
    </font>
    <font>
      <sz val="14"/>
      <color indexed="9"/>
      <name val="Arial"/>
      <family val="2"/>
    </font>
    <font>
      <sz val="10"/>
      <color indexed="9"/>
      <name val="Arial"/>
      <family val="2"/>
    </font>
    <font>
      <sz val="29.5"/>
      <color indexed="8"/>
      <name val="Arial"/>
      <family val="0"/>
    </font>
    <font>
      <sz val="29.5"/>
      <color indexed="8"/>
      <name val="Times New Roman"/>
      <family val="0"/>
    </font>
    <font>
      <sz val="22"/>
      <color indexed="60"/>
      <name val="Times New Roman"/>
      <family val="0"/>
    </font>
    <font>
      <sz val="22"/>
      <color indexed="40"/>
      <name val="Times New Roman"/>
      <family val="0"/>
    </font>
    <font>
      <sz val="22"/>
      <color indexed="52"/>
      <name val="Times New Roman"/>
      <family val="0"/>
    </font>
    <font>
      <sz val="22"/>
      <color indexed="25"/>
      <name val="Times New Roman"/>
      <family val="0"/>
    </font>
    <font>
      <sz val="22"/>
      <color indexed="48"/>
      <name val="Times New Roman"/>
      <family val="0"/>
    </font>
    <font>
      <b/>
      <sz val="36"/>
      <color indexed="10"/>
      <name val="Times New Roman"/>
      <family val="0"/>
    </font>
    <font>
      <sz val="22.5"/>
      <color indexed="8"/>
      <name val="Arial"/>
      <family val="0"/>
    </font>
    <font>
      <sz val="21.25"/>
      <color indexed="8"/>
      <name val="Arial"/>
      <family val="0"/>
    </font>
    <font>
      <sz val="18"/>
      <color indexed="8"/>
      <name val="Times New Roman"/>
      <family val="0"/>
    </font>
    <font>
      <sz val="10"/>
      <color theme="1"/>
      <name val="Arabic Transparent"/>
      <family val="2"/>
    </font>
    <font>
      <sz val="10"/>
      <color theme="0"/>
      <name val="Arabic Transparent"/>
      <family val="2"/>
    </font>
    <font>
      <sz val="10"/>
      <color rgb="FF9C0006"/>
      <name val="Arabic Transparent"/>
      <family val="2"/>
    </font>
    <font>
      <b/>
      <sz val="10"/>
      <color rgb="FFFA7D00"/>
      <name val="Arabic Transparent"/>
      <family val="2"/>
    </font>
    <font>
      <b/>
      <sz val="10"/>
      <color theme="0"/>
      <name val="Arabic Transparent"/>
      <family val="2"/>
    </font>
    <font>
      <i/>
      <sz val="10"/>
      <color rgb="FF7F7F7F"/>
      <name val="Arabic Transparent"/>
      <family val="2"/>
    </font>
    <font>
      <sz val="10"/>
      <color rgb="FF006100"/>
      <name val="Arabic Transparent"/>
      <family val="2"/>
    </font>
    <font>
      <b/>
      <sz val="15"/>
      <color theme="3"/>
      <name val="Arabic Transparent"/>
      <family val="2"/>
    </font>
    <font>
      <b/>
      <sz val="13"/>
      <color theme="3"/>
      <name val="Arabic Transparent"/>
      <family val="2"/>
    </font>
    <font>
      <b/>
      <sz val="11"/>
      <color theme="3"/>
      <name val="Arabic Transparent"/>
      <family val="2"/>
    </font>
    <font>
      <sz val="10"/>
      <color rgb="FF3F3F76"/>
      <name val="Arabic Transparent"/>
      <family val="2"/>
    </font>
    <font>
      <sz val="10"/>
      <color rgb="FFFA7D00"/>
      <name val="Arabic Transparent"/>
      <family val="2"/>
    </font>
    <font>
      <sz val="10"/>
      <color rgb="FF9C6500"/>
      <name val="Arabic Transparent"/>
      <family val="2"/>
    </font>
    <font>
      <b/>
      <sz val="10"/>
      <color rgb="FF3F3F3F"/>
      <name val="Arabic Transparent"/>
      <family val="2"/>
    </font>
    <font>
      <b/>
      <sz val="18"/>
      <color theme="3"/>
      <name val="Cambria"/>
      <family val="2"/>
    </font>
    <font>
      <b/>
      <sz val="10"/>
      <color theme="1"/>
      <name val="Arabic Transparent"/>
      <family val="2"/>
    </font>
    <font>
      <sz val="10"/>
      <color rgb="FFFF0000"/>
      <name val="Arabic Transparent"/>
      <family val="2"/>
    </font>
    <font>
      <sz val="11"/>
      <color rgb="FF00B050"/>
      <name val="Arial"/>
      <family val="2"/>
    </font>
    <font>
      <sz val="10"/>
      <color theme="0"/>
      <name val="Times New Roman"/>
      <family val="1"/>
    </font>
    <font>
      <b/>
      <sz val="12"/>
      <color rgb="FF00B05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40"/>
      </left>
      <right/>
      <top/>
      <bottom/>
    </border>
    <border>
      <left/>
      <right style="double">
        <color indexed="40"/>
      </right>
      <top/>
      <bottom/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double">
        <color indexed="40"/>
      </right>
      <top/>
      <bottom/>
    </border>
    <border>
      <left style="double">
        <color indexed="40"/>
      </left>
      <right style="double">
        <color indexed="40"/>
      </right>
      <top/>
      <bottom style="double">
        <color indexed="40"/>
      </bottom>
    </border>
    <border>
      <left style="double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/>
      <right/>
      <top style="double">
        <color indexed="40"/>
      </top>
      <bottom/>
    </border>
    <border>
      <left style="thin">
        <color indexed="40"/>
      </left>
      <right style="thin">
        <color indexed="40"/>
      </right>
      <top style="double">
        <color indexed="40"/>
      </top>
      <bottom/>
    </border>
    <border>
      <left style="thin">
        <color indexed="40"/>
      </left>
      <right/>
      <top style="double">
        <color indexed="40"/>
      </top>
      <bottom/>
    </border>
    <border>
      <left style="thin">
        <color indexed="40"/>
      </left>
      <right style="thin">
        <color indexed="40"/>
      </right>
      <top style="double">
        <color indexed="40"/>
      </top>
      <bottom style="thin">
        <color indexed="40"/>
      </bottom>
    </border>
    <border>
      <left style="thin">
        <color indexed="40"/>
      </left>
      <right/>
      <top style="double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/>
    </border>
    <border>
      <left style="thin">
        <color indexed="40"/>
      </left>
      <right/>
      <top style="thin">
        <color indexed="40"/>
      </top>
      <bottom/>
    </border>
    <border>
      <left style="thin">
        <color indexed="40"/>
      </left>
      <right/>
      <top style="thin">
        <color indexed="40"/>
      </top>
      <bottom style="double">
        <color indexed="40"/>
      </bottom>
    </border>
    <border>
      <left style="thin">
        <color indexed="40"/>
      </left>
      <right/>
      <top/>
      <bottom style="thin">
        <color indexed="40"/>
      </bottom>
    </border>
    <border>
      <left style="thin">
        <color indexed="40"/>
      </left>
      <right/>
      <top/>
      <bottom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/>
      <top style="thin">
        <color indexed="40"/>
      </top>
      <bottom style="thin">
        <color indexed="40"/>
      </bottom>
    </border>
    <border>
      <left style="thin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 style="thin">
        <color indexed="40"/>
      </left>
      <right/>
      <top style="double">
        <color indexed="40"/>
      </top>
      <bottom style="double">
        <color indexed="40"/>
      </bottom>
    </border>
    <border>
      <left/>
      <right style="thin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/>
      <right/>
      <top/>
      <bottom style="double">
        <color indexed="35"/>
      </bottom>
    </border>
    <border>
      <left style="double">
        <color indexed="35"/>
      </left>
      <right style="thin">
        <color indexed="53"/>
      </right>
      <top style="double">
        <color indexed="35"/>
      </top>
      <bottom/>
    </border>
    <border>
      <left/>
      <right/>
      <top style="double">
        <color indexed="35"/>
      </top>
      <bottom/>
    </border>
    <border>
      <left style="double">
        <color indexed="35"/>
      </left>
      <right style="double">
        <color indexed="35"/>
      </right>
      <top style="double">
        <color indexed="35"/>
      </top>
      <bottom/>
    </border>
    <border>
      <left style="double">
        <color indexed="35"/>
      </left>
      <right/>
      <top/>
      <bottom/>
    </border>
    <border>
      <left style="double">
        <color indexed="35"/>
      </left>
      <right style="thin">
        <color indexed="35"/>
      </right>
      <top style="thin">
        <color indexed="35"/>
      </top>
      <bottom style="double">
        <color indexed="35"/>
      </bottom>
    </border>
    <border>
      <left/>
      <right style="double">
        <color indexed="35"/>
      </right>
      <top style="thin">
        <color indexed="35"/>
      </top>
      <bottom style="double">
        <color indexed="35"/>
      </bottom>
    </border>
    <border>
      <left style="thin">
        <color indexed="35"/>
      </left>
      <right style="thin">
        <color indexed="35"/>
      </right>
      <top style="thin">
        <color indexed="35"/>
      </top>
      <bottom style="double">
        <color indexed="35"/>
      </bottom>
    </border>
    <border>
      <left/>
      <right/>
      <top style="thin">
        <color indexed="35"/>
      </top>
      <bottom style="double">
        <color indexed="35"/>
      </bottom>
    </border>
    <border>
      <left style="double">
        <color indexed="35"/>
      </left>
      <right/>
      <top style="double">
        <color indexed="35"/>
      </top>
      <bottom/>
    </border>
    <border>
      <left style="thin">
        <color indexed="35"/>
      </left>
      <right style="double">
        <color indexed="35"/>
      </right>
      <top style="double">
        <color indexed="35"/>
      </top>
      <bottom/>
    </border>
    <border>
      <left style="double">
        <color indexed="35"/>
      </left>
      <right style="thin">
        <color indexed="35"/>
      </right>
      <top style="double">
        <color indexed="35"/>
      </top>
      <bottom/>
    </border>
    <border>
      <left style="thin">
        <color indexed="35"/>
      </left>
      <right/>
      <top/>
      <bottom/>
    </border>
    <border>
      <left style="thin">
        <color indexed="35"/>
      </left>
      <right style="thin">
        <color indexed="35"/>
      </right>
      <top style="double">
        <color indexed="35"/>
      </top>
      <bottom/>
    </border>
    <border>
      <left/>
      <right style="thin">
        <color indexed="35"/>
      </right>
      <top/>
      <bottom/>
    </border>
    <border>
      <left style="double">
        <color indexed="35"/>
      </left>
      <right style="double">
        <color indexed="35"/>
      </right>
      <top/>
      <bottom/>
    </border>
    <border>
      <left style="thin">
        <color indexed="35"/>
      </left>
      <right style="double">
        <color indexed="35"/>
      </right>
      <top/>
      <bottom/>
    </border>
    <border>
      <left style="double">
        <color indexed="35"/>
      </left>
      <right style="thin">
        <color indexed="35"/>
      </right>
      <top/>
      <bottom/>
    </border>
    <border>
      <left style="thin">
        <color indexed="35"/>
      </left>
      <right style="thin">
        <color indexed="35"/>
      </right>
      <top/>
      <bottom/>
    </border>
    <border>
      <left/>
      <right style="double">
        <color indexed="35"/>
      </right>
      <top/>
      <bottom/>
    </border>
    <border>
      <left style="double">
        <color indexed="35"/>
      </left>
      <right/>
      <top/>
      <bottom style="double">
        <color indexed="35"/>
      </bottom>
    </border>
    <border>
      <left style="thin">
        <color indexed="35"/>
      </left>
      <right style="double">
        <color indexed="35"/>
      </right>
      <top/>
      <bottom style="double">
        <color indexed="35"/>
      </bottom>
    </border>
    <border>
      <left style="double">
        <color indexed="35"/>
      </left>
      <right style="thin">
        <color indexed="35"/>
      </right>
      <top/>
      <bottom style="double">
        <color indexed="35"/>
      </bottom>
    </border>
    <border>
      <left style="double">
        <color indexed="35"/>
      </left>
      <right style="double">
        <color indexed="35"/>
      </right>
      <top/>
      <bottom style="double">
        <color indexed="35"/>
      </bottom>
    </border>
    <border>
      <left/>
      <right style="thin">
        <color indexed="35"/>
      </right>
      <top/>
      <bottom style="double">
        <color indexed="35"/>
      </bottom>
    </border>
    <border>
      <left style="thin">
        <color indexed="35"/>
      </left>
      <right style="thin">
        <color indexed="35"/>
      </right>
      <top/>
      <bottom style="double">
        <color indexed="35"/>
      </bottom>
    </border>
    <border>
      <left/>
      <right style="double">
        <color indexed="35"/>
      </right>
      <top style="double">
        <color indexed="35"/>
      </top>
      <bottom style="double">
        <color indexed="35"/>
      </bottom>
    </border>
    <border>
      <left/>
      <right style="double">
        <color indexed="35"/>
      </right>
      <top style="double">
        <color indexed="35"/>
      </top>
      <bottom/>
    </border>
    <border>
      <left/>
      <right style="thin">
        <color indexed="35"/>
      </right>
      <top style="double">
        <color indexed="35"/>
      </top>
      <bottom/>
    </border>
    <border>
      <left/>
      <right style="double">
        <color indexed="35"/>
      </right>
      <top/>
      <bottom style="double">
        <color indexed="35"/>
      </bottom>
    </border>
    <border>
      <left style="double">
        <color indexed="35"/>
      </left>
      <right style="thin">
        <color indexed="35"/>
      </right>
      <top style="double">
        <color indexed="35"/>
      </top>
      <bottom style="double">
        <color indexed="35"/>
      </bottom>
    </border>
    <border>
      <left style="thin">
        <color indexed="35"/>
      </left>
      <right style="thin">
        <color indexed="35"/>
      </right>
      <top style="double">
        <color indexed="35"/>
      </top>
      <bottom style="double">
        <color indexed="35"/>
      </bottom>
    </border>
    <border>
      <left/>
      <right/>
      <top style="double">
        <color indexed="35"/>
      </top>
      <bottom style="double">
        <color indexed="35"/>
      </bottom>
    </border>
    <border>
      <left style="double">
        <color indexed="35"/>
      </left>
      <right style="double">
        <color indexed="35"/>
      </right>
      <top style="double">
        <color indexed="35"/>
      </top>
      <bottom style="double">
        <color indexed="35"/>
      </bottom>
    </border>
    <border>
      <left/>
      <right style="thin">
        <color indexed="35"/>
      </right>
      <top style="double">
        <color indexed="35"/>
      </top>
      <bottom style="double">
        <color indexed="35"/>
      </bottom>
    </border>
    <border>
      <left style="thin">
        <color indexed="35"/>
      </left>
      <right/>
      <top style="double">
        <color indexed="35"/>
      </top>
      <bottom style="double">
        <color indexed="35"/>
      </bottom>
    </border>
    <border>
      <left style="double">
        <color indexed="35"/>
      </left>
      <right/>
      <top style="double">
        <color indexed="35"/>
      </top>
      <bottom style="double">
        <color indexed="35"/>
      </bottom>
    </border>
    <border>
      <left/>
      <right style="thin">
        <color indexed="35"/>
      </right>
      <top style="thin">
        <color indexed="35"/>
      </top>
      <bottom style="double">
        <color indexed="35"/>
      </bottom>
    </border>
    <border>
      <left style="double">
        <color indexed="40"/>
      </left>
      <right/>
      <top style="thin">
        <color indexed="40"/>
      </top>
      <bottom style="thin">
        <color indexed="40"/>
      </bottom>
    </border>
    <border>
      <left style="double">
        <color indexed="40"/>
      </left>
      <right/>
      <top style="thin">
        <color indexed="40"/>
      </top>
      <bottom/>
    </border>
    <border>
      <left style="double">
        <color indexed="40"/>
      </left>
      <right/>
      <top style="double">
        <color indexed="40"/>
      </top>
      <bottom style="double">
        <color indexed="40"/>
      </bottom>
    </border>
    <border>
      <left/>
      <right/>
      <top/>
      <bottom style="double">
        <color indexed="40"/>
      </bottom>
    </border>
    <border>
      <left style="double">
        <color indexed="40"/>
      </left>
      <right/>
      <top style="double">
        <color indexed="40"/>
      </top>
      <bottom/>
    </border>
    <border>
      <left style="thin">
        <color indexed="40"/>
      </left>
      <right style="double">
        <color indexed="40"/>
      </right>
      <top style="double">
        <color indexed="40"/>
      </top>
      <bottom/>
    </border>
    <border>
      <left style="double">
        <color indexed="40"/>
      </left>
      <right style="thin">
        <color indexed="40"/>
      </right>
      <top style="double">
        <color indexed="40"/>
      </top>
      <bottom/>
    </border>
    <border>
      <left/>
      <right style="double">
        <color indexed="40"/>
      </right>
      <top style="thin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 style="thin">
        <color indexed="40"/>
      </right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double">
        <color indexed="40"/>
      </top>
      <bottom style="double">
        <color indexed="40"/>
      </bottom>
    </border>
    <border>
      <left/>
      <right style="double">
        <color indexed="40"/>
      </right>
      <top style="thin">
        <color indexed="40"/>
      </top>
      <bottom/>
    </border>
    <border>
      <left/>
      <right/>
      <top style="double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double">
        <color indexed="40"/>
      </top>
      <bottom style="thin">
        <color indexed="40"/>
      </bottom>
    </border>
    <border>
      <left style="double">
        <color indexed="40"/>
      </left>
      <right/>
      <top style="double">
        <color indexed="40"/>
      </top>
      <bottom style="thin">
        <color indexed="40"/>
      </bottom>
    </border>
    <border>
      <left style="double">
        <color indexed="40"/>
      </left>
      <right style="thin">
        <color indexed="40"/>
      </right>
      <top style="double">
        <color indexed="40"/>
      </top>
      <bottom style="thin">
        <color indexed="40"/>
      </bottom>
    </border>
    <border>
      <left/>
      <right style="double">
        <color indexed="40"/>
      </right>
      <top style="double">
        <color indexed="40"/>
      </top>
      <bottom style="thin">
        <color indexed="40"/>
      </bottom>
    </border>
    <border>
      <left/>
      <right/>
      <top style="thin">
        <color indexed="40"/>
      </top>
      <bottom style="thin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 style="thin">
        <color indexed="40"/>
      </bottom>
    </border>
    <border>
      <left style="double">
        <color indexed="40"/>
      </left>
      <right/>
      <top/>
      <bottom style="thin">
        <color indexed="40"/>
      </bottom>
    </border>
    <border>
      <left style="thin">
        <color indexed="40"/>
      </left>
      <right style="double">
        <color indexed="40"/>
      </right>
      <top/>
      <bottom style="thin">
        <color indexed="40"/>
      </bottom>
    </border>
    <border>
      <left style="thin">
        <color indexed="40"/>
      </left>
      <right style="thin">
        <color indexed="40"/>
      </right>
      <top/>
      <bottom style="thin">
        <color indexed="40"/>
      </bottom>
    </border>
    <border>
      <left style="thin">
        <color indexed="40"/>
      </left>
      <right style="double">
        <color indexed="40"/>
      </right>
      <top style="thin">
        <color indexed="40"/>
      </top>
      <bottom/>
    </border>
    <border>
      <left style="double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 style="thin">
        <color indexed="40"/>
      </left>
      <right style="thin">
        <color indexed="40"/>
      </right>
      <top style="thin">
        <color indexed="40"/>
      </top>
      <bottom style="double">
        <color indexed="40"/>
      </bottom>
    </border>
    <border>
      <left/>
      <right/>
      <top style="thin">
        <color indexed="40"/>
      </top>
      <bottom/>
    </border>
    <border>
      <left style="thin">
        <color indexed="40"/>
      </left>
      <right style="double">
        <color indexed="40"/>
      </right>
      <top style="thin">
        <color indexed="40"/>
      </top>
      <bottom style="double">
        <color indexed="40"/>
      </bottom>
    </border>
    <border>
      <left/>
      <right/>
      <top style="double">
        <color indexed="40"/>
      </top>
      <bottom style="double">
        <color indexed="40"/>
      </bottom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double"/>
      <right style="double"/>
      <top/>
      <bottom style="double"/>
    </border>
    <border>
      <left style="double"/>
      <right/>
      <top/>
      <bottom style="double"/>
    </border>
    <border>
      <left style="thin"/>
      <right/>
      <top style="double"/>
      <bottom style="double"/>
    </border>
    <border>
      <left style="double"/>
      <right style="thin"/>
      <top style="thin"/>
      <bottom style="double"/>
    </border>
    <border>
      <left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/>
      <top/>
      <bottom/>
    </border>
    <border>
      <left style="thin"/>
      <right style="thin"/>
      <top style="double"/>
      <bottom/>
    </border>
    <border>
      <left/>
      <right style="thin"/>
      <top/>
      <bottom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ouble"/>
      <top/>
      <bottom style="double"/>
    </border>
    <border>
      <left style="thin"/>
      <right style="double"/>
      <top style="double"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double"/>
      <right/>
      <top style="double"/>
      <bottom/>
    </border>
    <border>
      <left/>
      <right style="double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thin"/>
      <right/>
      <top style="thin"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/>
      <right style="double">
        <color indexed="40"/>
      </right>
      <top style="thin">
        <color indexed="40"/>
      </top>
      <bottom style="double">
        <color indexed="40"/>
      </bottom>
    </border>
    <border>
      <left/>
      <right style="double">
        <color indexed="40"/>
      </right>
      <top/>
      <bottom style="thin">
        <color indexed="40"/>
      </bottom>
    </border>
    <border>
      <left/>
      <right style="double">
        <color indexed="40"/>
      </right>
      <top/>
      <bottom style="double">
        <color indexed="40"/>
      </bottom>
    </border>
    <border>
      <left style="double">
        <color indexed="40"/>
      </left>
      <right/>
      <top/>
      <bottom style="double">
        <color indexed="40"/>
      </bottom>
    </border>
    <border>
      <left/>
      <right style="double"/>
      <top style="double"/>
      <bottom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double">
        <color indexed="35"/>
      </top>
      <bottom style="thin">
        <color indexed="35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0" fillId="2" borderId="0" applyNumberFormat="0" applyBorder="0" applyAlignment="0" applyProtection="0"/>
    <xf numFmtId="0" fontId="140" fillId="3" borderId="0" applyNumberFormat="0" applyBorder="0" applyAlignment="0" applyProtection="0"/>
    <xf numFmtId="0" fontId="140" fillId="4" borderId="0" applyNumberFormat="0" applyBorder="0" applyAlignment="0" applyProtection="0"/>
    <xf numFmtId="0" fontId="140" fillId="5" borderId="0" applyNumberFormat="0" applyBorder="0" applyAlignment="0" applyProtection="0"/>
    <xf numFmtId="0" fontId="140" fillId="6" borderId="0" applyNumberFormat="0" applyBorder="0" applyAlignment="0" applyProtection="0"/>
    <xf numFmtId="0" fontId="140" fillId="7" borderId="0" applyNumberFormat="0" applyBorder="0" applyAlignment="0" applyProtection="0"/>
    <xf numFmtId="0" fontId="140" fillId="8" borderId="0" applyNumberFormat="0" applyBorder="0" applyAlignment="0" applyProtection="0"/>
    <xf numFmtId="0" fontId="140" fillId="9" borderId="0" applyNumberFormat="0" applyBorder="0" applyAlignment="0" applyProtection="0"/>
    <xf numFmtId="0" fontId="140" fillId="10" borderId="0" applyNumberFormat="0" applyBorder="0" applyAlignment="0" applyProtection="0"/>
    <xf numFmtId="0" fontId="140" fillId="11" borderId="0" applyNumberFormat="0" applyBorder="0" applyAlignment="0" applyProtection="0"/>
    <xf numFmtId="0" fontId="140" fillId="12" borderId="0" applyNumberFormat="0" applyBorder="0" applyAlignment="0" applyProtection="0"/>
    <xf numFmtId="0" fontId="14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1" fillId="20" borderId="0" applyNumberFormat="0" applyBorder="0" applyAlignment="0" applyProtection="0"/>
    <xf numFmtId="0" fontId="141" fillId="21" borderId="0" applyNumberFormat="0" applyBorder="0" applyAlignment="0" applyProtection="0"/>
    <xf numFmtId="0" fontId="141" fillId="22" borderId="0" applyNumberFormat="0" applyBorder="0" applyAlignment="0" applyProtection="0"/>
    <xf numFmtId="0" fontId="141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2" fillId="26" borderId="0" applyNumberFormat="0" applyBorder="0" applyAlignment="0" applyProtection="0"/>
    <xf numFmtId="0" fontId="143" fillId="27" borderId="1" applyNumberFormat="0" applyAlignment="0" applyProtection="0"/>
    <xf numFmtId="0" fontId="1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29" borderId="0" applyNumberFormat="0" applyBorder="0" applyAlignment="0" applyProtection="0"/>
    <xf numFmtId="0" fontId="147" fillId="0" borderId="3" applyNumberFormat="0" applyFill="0" applyAlignment="0" applyProtection="0"/>
    <xf numFmtId="0" fontId="148" fillId="0" borderId="4" applyNumberFormat="0" applyFill="0" applyAlignment="0" applyProtection="0"/>
    <xf numFmtId="0" fontId="149" fillId="0" borderId="5" applyNumberFormat="0" applyFill="0" applyAlignment="0" applyProtection="0"/>
    <xf numFmtId="0" fontId="149" fillId="0" borderId="0" applyNumberFormat="0" applyFill="0" applyBorder="0" applyAlignment="0" applyProtection="0"/>
    <xf numFmtId="0" fontId="150" fillId="30" borderId="1" applyNumberFormat="0" applyAlignment="0" applyProtection="0"/>
    <xf numFmtId="0" fontId="151" fillId="0" borderId="6" applyNumberFormat="0" applyFill="0" applyAlignment="0" applyProtection="0"/>
    <xf numFmtId="0" fontId="1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153" fillId="27" borderId="8" applyNumberFormat="0" applyAlignment="0" applyProtection="0"/>
    <xf numFmtId="9" fontId="0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55" fillId="0" borderId="9" applyNumberFormat="0" applyFill="0" applyAlignment="0" applyProtection="0"/>
    <xf numFmtId="0" fontId="156" fillId="0" borderId="0" applyNumberFormat="0" applyFill="0" applyBorder="0" applyAlignment="0" applyProtection="0"/>
  </cellStyleXfs>
  <cellXfs count="1365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1" fontId="8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1" fontId="21" fillId="0" borderId="0" xfId="0" applyNumberFormat="1" applyFont="1" applyFill="1" applyBorder="1" applyAlignment="1">
      <alignment horizontal="right" vertical="center" readingOrder="2"/>
    </xf>
    <xf numFmtId="0" fontId="15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72" fontId="15" fillId="0" borderId="11" xfId="0" applyNumberFormat="1" applyFont="1" applyBorder="1" applyAlignment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10" fontId="23" fillId="0" borderId="12" xfId="0" applyNumberFormat="1" applyFont="1" applyBorder="1" applyAlignment="1">
      <alignment horizontal="center" vertical="center"/>
    </xf>
    <xf numFmtId="9" fontId="23" fillId="0" borderId="12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72" fontId="11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" fontId="48" fillId="0" borderId="23" xfId="0" applyNumberFormat="1" applyFont="1" applyBorder="1" applyAlignment="1">
      <alignment horizontal="center" vertical="center"/>
    </xf>
    <xf numFmtId="172" fontId="28" fillId="0" borderId="24" xfId="0" applyNumberFormat="1" applyFont="1" applyBorder="1" applyAlignment="1">
      <alignment horizontal="right" vertical="center"/>
    </xf>
    <xf numFmtId="172" fontId="28" fillId="0" borderId="25" xfId="0" applyNumberFormat="1" applyFont="1" applyBorder="1" applyAlignment="1">
      <alignment horizontal="right" vertical="center"/>
    </xf>
    <xf numFmtId="172" fontId="29" fillId="0" borderId="25" xfId="0" applyNumberFormat="1" applyFont="1" applyBorder="1" applyAlignment="1">
      <alignment horizontal="right" vertical="center"/>
    </xf>
    <xf numFmtId="172" fontId="28" fillId="0" borderId="26" xfId="0" applyNumberFormat="1" applyFont="1" applyBorder="1" applyAlignment="1">
      <alignment horizontal="right" vertical="center"/>
    </xf>
    <xf numFmtId="172" fontId="28" fillId="0" borderId="27" xfId="0" applyNumberFormat="1" applyFont="1" applyBorder="1" applyAlignment="1">
      <alignment horizontal="right" vertical="center"/>
    </xf>
    <xf numFmtId="172" fontId="28" fillId="0" borderId="28" xfId="0" applyNumberFormat="1" applyFont="1" applyBorder="1" applyAlignment="1">
      <alignment horizontal="right" vertical="center"/>
    </xf>
    <xf numFmtId="172" fontId="29" fillId="0" borderId="28" xfId="0" applyNumberFormat="1" applyFont="1" applyBorder="1" applyAlignment="1">
      <alignment horizontal="right" vertical="center"/>
    </xf>
    <xf numFmtId="172" fontId="31" fillId="0" borderId="24" xfId="0" applyNumberFormat="1" applyFont="1" applyBorder="1" applyAlignment="1">
      <alignment horizontal="right" vertical="center"/>
    </xf>
    <xf numFmtId="172" fontId="31" fillId="0" borderId="25" xfId="0" applyNumberFormat="1" applyFont="1" applyBorder="1" applyAlignment="1">
      <alignment horizontal="right" vertical="center"/>
    </xf>
    <xf numFmtId="172" fontId="31" fillId="0" borderId="29" xfId="0" applyNumberFormat="1" applyFont="1" applyBorder="1" applyAlignment="1">
      <alignment horizontal="right" vertical="center"/>
    </xf>
    <xf numFmtId="172" fontId="31" fillId="0" borderId="30" xfId="0" applyNumberFormat="1" applyFont="1" applyBorder="1" applyAlignment="1">
      <alignment horizontal="right" vertical="center"/>
    </xf>
    <xf numFmtId="172" fontId="32" fillId="0" borderId="29" xfId="0" applyNumberFormat="1" applyFont="1" applyBorder="1" applyAlignment="1">
      <alignment horizontal="right" vertical="center"/>
    </xf>
    <xf numFmtId="172" fontId="33" fillId="0" borderId="29" xfId="0" applyNumberFormat="1" applyFont="1" applyBorder="1" applyAlignment="1">
      <alignment horizontal="right" vertical="center"/>
    </xf>
    <xf numFmtId="172" fontId="31" fillId="0" borderId="31" xfId="0" applyNumberFormat="1" applyFont="1" applyBorder="1" applyAlignment="1">
      <alignment horizontal="right" vertical="center"/>
    </xf>
    <xf numFmtId="172" fontId="31" fillId="0" borderId="32" xfId="0" applyNumberFormat="1" applyFont="1" applyBorder="1" applyAlignment="1">
      <alignment horizontal="right" vertical="center"/>
    </xf>
    <xf numFmtId="172" fontId="32" fillId="0" borderId="32" xfId="0" applyNumberFormat="1" applyFont="1" applyBorder="1" applyAlignment="1">
      <alignment horizontal="right" vertical="center"/>
    </xf>
    <xf numFmtId="172" fontId="33" fillId="0" borderId="32" xfId="0" applyNumberFormat="1" applyFont="1" applyBorder="1" applyAlignment="1">
      <alignment horizontal="right" vertical="center"/>
    </xf>
    <xf numFmtId="172" fontId="31" fillId="0" borderId="26" xfId="0" applyNumberFormat="1" applyFont="1" applyBorder="1" applyAlignment="1">
      <alignment horizontal="right" vertical="center"/>
    </xf>
    <xf numFmtId="172" fontId="31" fillId="0" borderId="27" xfId="0" applyNumberFormat="1" applyFont="1" applyBorder="1" applyAlignment="1">
      <alignment horizontal="right" vertical="center"/>
    </xf>
    <xf numFmtId="172" fontId="31" fillId="0" borderId="28" xfId="0" applyNumberFormat="1" applyFont="1" applyBorder="1" applyAlignment="1">
      <alignment horizontal="right" vertical="center"/>
    </xf>
    <xf numFmtId="172" fontId="32" fillId="0" borderId="27" xfId="0" applyNumberFormat="1" applyFont="1" applyBorder="1" applyAlignment="1">
      <alignment horizontal="right" vertical="center"/>
    </xf>
    <xf numFmtId="172" fontId="33" fillId="0" borderId="27" xfId="0" applyNumberFormat="1" applyFont="1" applyBorder="1" applyAlignment="1">
      <alignment horizontal="right" vertical="center"/>
    </xf>
    <xf numFmtId="172" fontId="35" fillId="0" borderId="24" xfId="0" applyNumberFormat="1" applyFont="1" applyBorder="1" applyAlignment="1">
      <alignment horizontal="right" vertical="center"/>
    </xf>
    <xf numFmtId="172" fontId="35" fillId="0" borderId="25" xfId="0" applyNumberFormat="1" applyFont="1" applyBorder="1" applyAlignment="1">
      <alignment horizontal="right" vertical="center"/>
    </xf>
    <xf numFmtId="172" fontId="35" fillId="0" borderId="30" xfId="0" applyNumberFormat="1" applyFont="1" applyBorder="1" applyAlignment="1">
      <alignment horizontal="right" vertical="center"/>
    </xf>
    <xf numFmtId="172" fontId="36" fillId="0" borderId="25" xfId="0" applyNumberFormat="1" applyFont="1" applyBorder="1" applyAlignment="1">
      <alignment horizontal="right" vertical="center"/>
    </xf>
    <xf numFmtId="172" fontId="35" fillId="0" borderId="26" xfId="0" applyNumberFormat="1" applyFont="1" applyBorder="1" applyAlignment="1">
      <alignment horizontal="right" vertical="center"/>
    </xf>
    <xf numFmtId="172" fontId="35" fillId="0" borderId="27" xfId="0" applyNumberFormat="1" applyFont="1" applyBorder="1" applyAlignment="1">
      <alignment horizontal="right" vertical="center"/>
    </xf>
    <xf numFmtId="172" fontId="35" fillId="0" borderId="28" xfId="0" applyNumberFormat="1" applyFont="1" applyBorder="1" applyAlignment="1">
      <alignment horizontal="right" vertical="center"/>
    </xf>
    <xf numFmtId="172" fontId="36" fillId="0" borderId="28" xfId="0" applyNumberFormat="1" applyFont="1" applyBorder="1" applyAlignment="1">
      <alignment horizontal="right" vertical="center"/>
    </xf>
    <xf numFmtId="172" fontId="38" fillId="0" borderId="24" xfId="0" applyNumberFormat="1" applyFont="1" applyBorder="1" applyAlignment="1">
      <alignment horizontal="right" vertical="center"/>
    </xf>
    <xf numFmtId="172" fontId="38" fillId="0" borderId="25" xfId="0" applyNumberFormat="1" applyFont="1" applyBorder="1" applyAlignment="1">
      <alignment horizontal="right" vertical="center"/>
    </xf>
    <xf numFmtId="172" fontId="38" fillId="0" borderId="29" xfId="0" applyNumberFormat="1" applyFont="1" applyBorder="1" applyAlignment="1">
      <alignment horizontal="right" vertical="center"/>
    </xf>
    <xf numFmtId="172" fontId="38" fillId="0" borderId="30" xfId="0" applyNumberFormat="1" applyFont="1" applyBorder="1" applyAlignment="1">
      <alignment horizontal="right" vertical="center"/>
    </xf>
    <xf numFmtId="172" fontId="39" fillId="0" borderId="29" xfId="0" applyNumberFormat="1" applyFont="1" applyBorder="1" applyAlignment="1">
      <alignment horizontal="right" vertical="center"/>
    </xf>
    <xf numFmtId="172" fontId="38" fillId="0" borderId="31" xfId="0" applyNumberFormat="1" applyFont="1" applyBorder="1" applyAlignment="1">
      <alignment horizontal="right" vertical="center"/>
    </xf>
    <xf numFmtId="172" fontId="38" fillId="0" borderId="32" xfId="0" applyNumberFormat="1" applyFont="1" applyBorder="1" applyAlignment="1">
      <alignment horizontal="right" vertical="center"/>
    </xf>
    <xf numFmtId="172" fontId="39" fillId="0" borderId="32" xfId="0" applyNumberFormat="1" applyFont="1" applyBorder="1" applyAlignment="1">
      <alignment horizontal="right" vertical="center"/>
    </xf>
    <xf numFmtId="172" fontId="38" fillId="0" borderId="26" xfId="0" applyNumberFormat="1" applyFont="1" applyBorder="1" applyAlignment="1">
      <alignment horizontal="right" vertical="center"/>
    </xf>
    <xf numFmtId="172" fontId="38" fillId="0" borderId="27" xfId="0" applyNumberFormat="1" applyFont="1" applyBorder="1" applyAlignment="1">
      <alignment horizontal="right" vertical="center"/>
    </xf>
    <xf numFmtId="172" fontId="39" fillId="0" borderId="27" xfId="0" applyNumberFormat="1" applyFont="1" applyBorder="1" applyAlignment="1">
      <alignment horizontal="right" vertical="center"/>
    </xf>
    <xf numFmtId="172" fontId="38" fillId="0" borderId="28" xfId="0" applyNumberFormat="1" applyFont="1" applyBorder="1" applyAlignment="1">
      <alignment horizontal="right" vertical="center"/>
    </xf>
    <xf numFmtId="172" fontId="31" fillId="0" borderId="33" xfId="0" applyNumberFormat="1" applyFont="1" applyBorder="1" applyAlignment="1">
      <alignment horizontal="right" vertical="center"/>
    </xf>
    <xf numFmtId="172" fontId="31" fillId="0" borderId="34" xfId="0" applyNumberFormat="1" applyFont="1" applyBorder="1" applyAlignment="1">
      <alignment horizontal="right" vertical="center"/>
    </xf>
    <xf numFmtId="172" fontId="33" fillId="0" borderId="34" xfId="0" applyNumberFormat="1" applyFont="1" applyBorder="1" applyAlignment="1">
      <alignment horizontal="right" vertical="center"/>
    </xf>
    <xf numFmtId="172" fontId="43" fillId="0" borderId="34" xfId="0" applyNumberFormat="1" applyFont="1" applyBorder="1" applyAlignment="1">
      <alignment horizontal="right" vertical="center"/>
    </xf>
    <xf numFmtId="172" fontId="46" fillId="0" borderId="25" xfId="0" applyNumberFormat="1" applyFont="1" applyBorder="1" applyAlignment="1">
      <alignment horizontal="right" vertical="center"/>
    </xf>
    <xf numFmtId="172" fontId="46" fillId="0" borderId="24" xfId="0" applyNumberFormat="1" applyFont="1" applyBorder="1" applyAlignment="1">
      <alignment horizontal="right" vertical="center"/>
    </xf>
    <xf numFmtId="172" fontId="45" fillId="0" borderId="35" xfId="0" applyNumberFormat="1" applyFont="1" applyBorder="1" applyAlignment="1">
      <alignment horizontal="right" vertical="center"/>
    </xf>
    <xf numFmtId="172" fontId="45" fillId="0" borderId="24" xfId="0" applyNumberFormat="1" applyFont="1" applyBorder="1" applyAlignment="1">
      <alignment horizontal="right" vertical="center"/>
    </xf>
    <xf numFmtId="172" fontId="45" fillId="0" borderId="25" xfId="0" applyNumberFormat="1" applyFont="1" applyBorder="1" applyAlignment="1">
      <alignment horizontal="right" vertical="center"/>
    </xf>
    <xf numFmtId="172" fontId="45" fillId="0" borderId="29" xfId="0" applyNumberFormat="1" applyFont="1" applyBorder="1" applyAlignment="1">
      <alignment horizontal="right" vertical="center"/>
    </xf>
    <xf numFmtId="172" fontId="46" fillId="0" borderId="29" xfId="0" applyNumberFormat="1" applyFont="1" applyBorder="1" applyAlignment="1">
      <alignment horizontal="right" vertical="center"/>
    </xf>
    <xf numFmtId="172" fontId="45" fillId="0" borderId="26" xfId="0" applyNumberFormat="1" applyFont="1" applyBorder="1" applyAlignment="1">
      <alignment horizontal="right" vertical="center"/>
    </xf>
    <xf numFmtId="172" fontId="45" fillId="0" borderId="31" xfId="0" applyNumberFormat="1" applyFont="1" applyBorder="1" applyAlignment="1">
      <alignment horizontal="right" vertical="center"/>
    </xf>
    <xf numFmtId="172" fontId="45" fillId="0" borderId="32" xfId="0" applyNumberFormat="1" applyFont="1" applyBorder="1" applyAlignment="1">
      <alignment horizontal="right" vertical="center"/>
    </xf>
    <xf numFmtId="172" fontId="20" fillId="0" borderId="32" xfId="0" applyNumberFormat="1" applyFont="1" applyBorder="1" applyAlignment="1">
      <alignment horizontal="right" vertical="center"/>
    </xf>
    <xf numFmtId="172" fontId="45" fillId="0" borderId="27" xfId="0" applyNumberFormat="1" applyFont="1" applyBorder="1" applyAlignment="1">
      <alignment horizontal="right" vertical="center"/>
    </xf>
    <xf numFmtId="172" fontId="45" fillId="0" borderId="28" xfId="0" applyNumberFormat="1" applyFont="1" applyBorder="1" applyAlignment="1">
      <alignment horizontal="right" vertical="center"/>
    </xf>
    <xf numFmtId="172" fontId="20" fillId="0" borderId="27" xfId="0" applyNumberFormat="1" applyFont="1" applyBorder="1" applyAlignment="1">
      <alignment horizontal="right" vertical="center"/>
    </xf>
    <xf numFmtId="172" fontId="20" fillId="0" borderId="36" xfId="0" applyNumberFormat="1" applyFont="1" applyBorder="1" applyAlignment="1">
      <alignment horizontal="right" vertical="center"/>
    </xf>
    <xf numFmtId="172" fontId="20" fillId="0" borderId="26" xfId="0" applyNumberFormat="1" applyFont="1" applyBorder="1" applyAlignment="1">
      <alignment horizontal="right" vertical="center"/>
    </xf>
    <xf numFmtId="1" fontId="49" fillId="33" borderId="33" xfId="0" applyNumberFormat="1" applyFont="1" applyFill="1" applyBorder="1" applyAlignment="1">
      <alignment horizontal="right" vertical="center"/>
    </xf>
    <xf numFmtId="172" fontId="11" fillId="33" borderId="33" xfId="0" applyNumberFormat="1" applyFont="1" applyFill="1" applyBorder="1" applyAlignment="1">
      <alignment horizontal="right" vertical="center"/>
    </xf>
    <xf numFmtId="1" fontId="20" fillId="33" borderId="33" xfId="0" applyNumberFormat="1" applyFont="1" applyFill="1" applyBorder="1" applyAlignment="1">
      <alignment horizontal="right" vertical="center"/>
    </xf>
    <xf numFmtId="172" fontId="20" fillId="33" borderId="33" xfId="0" applyNumberFormat="1" applyFont="1" applyFill="1" applyBorder="1" applyAlignment="1">
      <alignment horizontal="right" vertical="center"/>
    </xf>
    <xf numFmtId="1" fontId="20" fillId="33" borderId="34" xfId="0" applyNumberFormat="1" applyFont="1" applyFill="1" applyBorder="1" applyAlignment="1">
      <alignment horizontal="right" vertical="center"/>
    </xf>
    <xf numFmtId="172" fontId="20" fillId="33" borderId="34" xfId="0" applyNumberFormat="1" applyFont="1" applyFill="1" applyBorder="1" applyAlignment="1">
      <alignment horizontal="right" vertical="center"/>
    </xf>
    <xf numFmtId="2" fontId="20" fillId="33" borderId="34" xfId="0" applyNumberFormat="1" applyFont="1" applyFill="1" applyBorder="1" applyAlignment="1">
      <alignment horizontal="right" vertical="center"/>
    </xf>
    <xf numFmtId="0" fontId="51" fillId="0" borderId="0" xfId="0" applyFont="1" applyAlignment="1">
      <alignment vertical="center"/>
    </xf>
    <xf numFmtId="1" fontId="51" fillId="0" borderId="0" xfId="0" applyNumberFormat="1" applyFont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2" fillId="0" borderId="38" xfId="0" applyFont="1" applyBorder="1" applyAlignment="1">
      <alignment horizontal="left" vertical="center"/>
    </xf>
    <xf numFmtId="0" fontId="51" fillId="0" borderId="39" xfId="0" applyFont="1" applyBorder="1" applyAlignment="1">
      <alignment horizontal="center" vertical="center"/>
    </xf>
    <xf numFmtId="0" fontId="54" fillId="0" borderId="40" xfId="0" applyFont="1" applyFill="1" applyBorder="1" applyAlignment="1">
      <alignment horizontal="center" vertical="center"/>
    </xf>
    <xf numFmtId="0" fontId="51" fillId="0" borderId="41" xfId="0" applyFont="1" applyBorder="1" applyAlignment="1">
      <alignment horizontal="left" vertical="center"/>
    </xf>
    <xf numFmtId="1" fontId="51" fillId="0" borderId="42" xfId="0" applyNumberFormat="1" applyFont="1" applyBorder="1" applyAlignment="1">
      <alignment horizontal="center" vertical="center"/>
    </xf>
    <xf numFmtId="0" fontId="51" fillId="0" borderId="43" xfId="0" applyFont="1" applyBorder="1" applyAlignment="1">
      <alignment horizontal="center" vertical="center"/>
    </xf>
    <xf numFmtId="0" fontId="51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1" fillId="0" borderId="45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1" fontId="58" fillId="0" borderId="48" xfId="0" applyNumberFormat="1" applyFont="1" applyBorder="1" applyAlignment="1">
      <alignment horizontal="right" vertical="center"/>
    </xf>
    <xf numFmtId="1" fontId="58" fillId="0" borderId="49" xfId="0" applyNumberFormat="1" applyFont="1" applyBorder="1" applyAlignment="1">
      <alignment horizontal="right" vertical="center"/>
    </xf>
    <xf numFmtId="1" fontId="58" fillId="0" borderId="50" xfId="0" applyNumberFormat="1" applyFont="1" applyBorder="1" applyAlignment="1">
      <alignment horizontal="right" vertical="center"/>
    </xf>
    <xf numFmtId="1" fontId="58" fillId="0" borderId="47" xfId="0" applyNumberFormat="1" applyFont="1" applyBorder="1" applyAlignment="1">
      <alignment horizontal="right" vertical="center"/>
    </xf>
    <xf numFmtId="1" fontId="58" fillId="0" borderId="51" xfId="0" applyNumberFormat="1" applyFont="1" applyBorder="1" applyAlignment="1">
      <alignment horizontal="right" vertical="center"/>
    </xf>
    <xf numFmtId="1" fontId="58" fillId="0" borderId="52" xfId="0" applyNumberFormat="1" applyFont="1" applyBorder="1" applyAlignment="1">
      <alignment horizontal="right" vertical="center"/>
    </xf>
    <xf numFmtId="1" fontId="58" fillId="0" borderId="40" xfId="0" applyNumberFormat="1" applyFont="1" applyFill="1" applyBorder="1" applyAlignment="1">
      <alignment vertical="center"/>
    </xf>
    <xf numFmtId="0" fontId="20" fillId="0" borderId="41" xfId="0" applyFont="1" applyBorder="1" applyAlignment="1">
      <alignment horizontal="center" vertical="center"/>
    </xf>
    <xf numFmtId="0" fontId="20" fillId="0" borderId="53" xfId="0" applyFont="1" applyBorder="1" applyAlignment="1">
      <alignment vertical="center"/>
    </xf>
    <xf numFmtId="1" fontId="58" fillId="0" borderId="54" xfId="0" applyNumberFormat="1" applyFont="1" applyBorder="1" applyAlignment="1">
      <alignment horizontal="right" vertical="center"/>
    </xf>
    <xf numFmtId="1" fontId="58" fillId="0" borderId="55" xfId="0" applyNumberFormat="1" applyFont="1" applyBorder="1" applyAlignment="1">
      <alignment horizontal="right" vertical="center"/>
    </xf>
    <xf numFmtId="1" fontId="58" fillId="0" borderId="56" xfId="0" applyNumberFormat="1" applyFont="1" applyBorder="1" applyAlignment="1">
      <alignment horizontal="right" vertical="center"/>
    </xf>
    <xf numFmtId="1" fontId="58" fillId="0" borderId="53" xfId="0" applyNumberFormat="1" applyFont="1" applyBorder="1" applyAlignment="1">
      <alignment horizontal="right" vertical="center"/>
    </xf>
    <xf numFmtId="1" fontId="58" fillId="0" borderId="0" xfId="0" applyNumberFormat="1" applyFont="1" applyBorder="1" applyAlignment="1">
      <alignment horizontal="right" vertical="center"/>
    </xf>
    <xf numFmtId="1" fontId="58" fillId="0" borderId="52" xfId="0" applyNumberFormat="1" applyFont="1" applyFill="1" applyBorder="1" applyAlignment="1">
      <alignment vertical="center"/>
    </xf>
    <xf numFmtId="0" fontId="20" fillId="0" borderId="57" xfId="0" applyFont="1" applyBorder="1" applyAlignment="1">
      <alignment horizontal="center" vertical="center"/>
    </xf>
    <xf numFmtId="0" fontId="20" fillId="0" borderId="58" xfId="0" applyFont="1" applyBorder="1" applyAlignment="1">
      <alignment vertical="center"/>
    </xf>
    <xf numFmtId="1" fontId="58" fillId="0" borderId="59" xfId="0" applyNumberFormat="1" applyFont="1" applyBorder="1" applyAlignment="1">
      <alignment horizontal="right" vertical="center"/>
    </xf>
    <xf numFmtId="1" fontId="58" fillId="0" borderId="60" xfId="0" applyNumberFormat="1" applyFont="1" applyBorder="1" applyAlignment="1">
      <alignment horizontal="right" vertical="center"/>
    </xf>
    <xf numFmtId="1" fontId="58" fillId="0" borderId="61" xfId="0" applyNumberFormat="1" applyFont="1" applyBorder="1" applyAlignment="1">
      <alignment horizontal="right" vertical="center"/>
    </xf>
    <xf numFmtId="1" fontId="58" fillId="0" borderId="37" xfId="0" applyNumberFormat="1" applyFont="1" applyBorder="1" applyAlignment="1">
      <alignment horizontal="right" vertical="center"/>
    </xf>
    <xf numFmtId="1" fontId="58" fillId="0" borderId="62" xfId="0" applyNumberFormat="1" applyFont="1" applyBorder="1" applyAlignment="1">
      <alignment horizontal="right" vertical="center"/>
    </xf>
    <xf numFmtId="1" fontId="58" fillId="0" borderId="60" xfId="0" applyNumberFormat="1" applyFont="1" applyFill="1" applyBorder="1" applyAlignment="1">
      <alignment vertical="center"/>
    </xf>
    <xf numFmtId="1" fontId="20" fillId="34" borderId="54" xfId="0" applyNumberFormat="1" applyFont="1" applyFill="1" applyBorder="1" applyAlignment="1">
      <alignment vertical="center"/>
    </xf>
    <xf numFmtId="1" fontId="58" fillId="34" borderId="63" xfId="0" applyNumberFormat="1" applyFont="1" applyFill="1" applyBorder="1" applyAlignment="1">
      <alignment vertical="center"/>
    </xf>
    <xf numFmtId="1" fontId="58" fillId="34" borderId="52" xfId="0" applyNumberFormat="1" applyFont="1" applyFill="1" applyBorder="1" applyAlignment="1">
      <alignment vertical="center"/>
    </xf>
    <xf numFmtId="1" fontId="58" fillId="34" borderId="51" xfId="0" applyNumberFormat="1" applyFont="1" applyFill="1" applyBorder="1" applyAlignment="1">
      <alignment vertical="center"/>
    </xf>
    <xf numFmtId="1" fontId="58" fillId="34" borderId="0" xfId="0" applyNumberFormat="1" applyFont="1" applyFill="1" applyBorder="1" applyAlignment="1">
      <alignment vertical="center"/>
    </xf>
    <xf numFmtId="1" fontId="58" fillId="34" borderId="55" xfId="0" applyNumberFormat="1" applyFont="1" applyFill="1" applyBorder="1" applyAlignment="1">
      <alignment vertical="center"/>
    </xf>
    <xf numFmtId="0" fontId="59" fillId="0" borderId="46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1" fontId="43" fillId="0" borderId="48" xfId="0" applyNumberFormat="1" applyFont="1" applyFill="1" applyBorder="1" applyAlignment="1">
      <alignment horizontal="right" vertical="center"/>
    </xf>
    <xf numFmtId="1" fontId="42" fillId="0" borderId="64" xfId="0" applyNumberFormat="1" applyFont="1" applyFill="1" applyBorder="1" applyAlignment="1">
      <alignment horizontal="right" vertical="center"/>
    </xf>
    <xf numFmtId="1" fontId="42" fillId="0" borderId="39" xfId="0" applyNumberFormat="1" applyFont="1" applyFill="1" applyBorder="1" applyAlignment="1">
      <alignment horizontal="right" vertical="center"/>
    </xf>
    <xf numFmtId="1" fontId="42" fillId="0" borderId="50" xfId="0" applyNumberFormat="1" applyFont="1" applyFill="1" applyBorder="1" applyAlignment="1">
      <alignment horizontal="right" vertical="center"/>
    </xf>
    <xf numFmtId="1" fontId="42" fillId="0" borderId="48" xfId="0" applyNumberFormat="1" applyFont="1" applyFill="1" applyBorder="1" applyAlignment="1">
      <alignment horizontal="right" vertical="center"/>
    </xf>
    <xf numFmtId="1" fontId="42" fillId="0" borderId="40" xfId="0" applyNumberFormat="1" applyFont="1" applyFill="1" applyBorder="1" applyAlignment="1">
      <alignment horizontal="right" vertical="center"/>
    </xf>
    <xf numFmtId="1" fontId="42" fillId="0" borderId="65" xfId="0" applyNumberFormat="1" applyFont="1" applyFill="1" applyBorder="1" applyAlignment="1">
      <alignment horizontal="right" vertical="center"/>
    </xf>
    <xf numFmtId="1" fontId="42" fillId="0" borderId="40" xfId="0" applyNumberFormat="1" applyFont="1" applyFill="1" applyBorder="1" applyAlignment="1">
      <alignment vertical="center"/>
    </xf>
    <xf numFmtId="0" fontId="43" fillId="0" borderId="41" xfId="0" applyFont="1" applyFill="1" applyBorder="1" applyAlignment="1">
      <alignment vertical="center"/>
    </xf>
    <xf numFmtId="0" fontId="43" fillId="0" borderId="53" xfId="0" applyFont="1" applyFill="1" applyBorder="1" applyAlignment="1">
      <alignment vertical="center"/>
    </xf>
    <xf numFmtId="1" fontId="42" fillId="0" borderId="54" xfId="0" applyNumberFormat="1" applyFont="1" applyFill="1" applyBorder="1" applyAlignment="1">
      <alignment horizontal="right" vertical="center"/>
    </xf>
    <xf numFmtId="1" fontId="42" fillId="0" borderId="56" xfId="0" applyNumberFormat="1" applyFont="1" applyFill="1" applyBorder="1" applyAlignment="1">
      <alignment horizontal="right" vertical="center"/>
    </xf>
    <xf numFmtId="1" fontId="42" fillId="0" borderId="0" xfId="0" applyNumberFormat="1" applyFont="1" applyFill="1" applyBorder="1" applyAlignment="1">
      <alignment horizontal="right" vertical="center"/>
    </xf>
    <xf numFmtId="1" fontId="42" fillId="0" borderId="55" xfId="0" applyNumberFormat="1" applyFont="1" applyFill="1" applyBorder="1" applyAlignment="1">
      <alignment horizontal="right" vertical="center"/>
    </xf>
    <xf numFmtId="1" fontId="42" fillId="0" borderId="52" xfId="0" applyNumberFormat="1" applyFont="1" applyFill="1" applyBorder="1" applyAlignment="1">
      <alignment horizontal="right" vertical="center"/>
    </xf>
    <xf numFmtId="1" fontId="42" fillId="0" borderId="51" xfId="0" applyNumberFormat="1" applyFont="1" applyFill="1" applyBorder="1" applyAlignment="1">
      <alignment horizontal="right" vertical="center"/>
    </xf>
    <xf numFmtId="1" fontId="42" fillId="0" borderId="52" xfId="0" applyNumberFormat="1" applyFont="1" applyFill="1" applyBorder="1" applyAlignment="1">
      <alignment vertical="center"/>
    </xf>
    <xf numFmtId="0" fontId="43" fillId="0" borderId="57" xfId="0" applyFont="1" applyFill="1" applyBorder="1" applyAlignment="1">
      <alignment vertical="center"/>
    </xf>
    <xf numFmtId="0" fontId="43" fillId="0" borderId="58" xfId="0" applyFont="1" applyFill="1" applyBorder="1" applyAlignment="1">
      <alignment vertical="center"/>
    </xf>
    <xf numFmtId="1" fontId="42" fillId="0" borderId="59" xfId="0" applyNumberFormat="1" applyFont="1" applyFill="1" applyBorder="1" applyAlignment="1">
      <alignment horizontal="right" vertical="center"/>
    </xf>
    <xf numFmtId="1" fontId="42" fillId="0" borderId="66" xfId="0" applyNumberFormat="1" applyFont="1" applyFill="1" applyBorder="1" applyAlignment="1">
      <alignment horizontal="right" vertical="center"/>
    </xf>
    <xf numFmtId="1" fontId="42" fillId="0" borderId="37" xfId="0" applyNumberFormat="1" applyFont="1" applyFill="1" applyBorder="1" applyAlignment="1">
      <alignment horizontal="right" vertical="center"/>
    </xf>
    <xf numFmtId="1" fontId="42" fillId="0" borderId="62" xfId="0" applyNumberFormat="1" applyFont="1" applyFill="1" applyBorder="1" applyAlignment="1">
      <alignment horizontal="right" vertical="center"/>
    </xf>
    <xf numFmtId="1" fontId="42" fillId="0" borderId="60" xfId="0" applyNumberFormat="1" applyFont="1" applyFill="1" applyBorder="1" applyAlignment="1">
      <alignment horizontal="right" vertical="center"/>
    </xf>
    <xf numFmtId="1" fontId="42" fillId="0" borderId="61" xfId="0" applyNumberFormat="1" applyFont="1" applyFill="1" applyBorder="1" applyAlignment="1">
      <alignment horizontal="right" vertical="center"/>
    </xf>
    <xf numFmtId="1" fontId="42" fillId="0" borderId="60" xfId="0" applyNumberFormat="1" applyFont="1" applyFill="1" applyBorder="1" applyAlignment="1">
      <alignment vertical="center"/>
    </xf>
    <xf numFmtId="1" fontId="43" fillId="35" borderId="54" xfId="0" applyNumberFormat="1" applyFont="1" applyFill="1" applyBorder="1" applyAlignment="1">
      <alignment vertical="center"/>
    </xf>
    <xf numFmtId="1" fontId="43" fillId="35" borderId="0" xfId="0" applyNumberFormat="1" applyFont="1" applyFill="1" applyBorder="1" applyAlignment="1">
      <alignment vertical="center"/>
    </xf>
    <xf numFmtId="1" fontId="42" fillId="35" borderId="52" xfId="0" applyNumberFormat="1" applyFont="1" applyFill="1" applyBorder="1" applyAlignment="1">
      <alignment vertical="center"/>
    </xf>
    <xf numFmtId="1" fontId="42" fillId="35" borderId="51" xfId="0" applyNumberFormat="1" applyFont="1" applyFill="1" applyBorder="1" applyAlignment="1">
      <alignment vertical="center"/>
    </xf>
    <xf numFmtId="1" fontId="42" fillId="35" borderId="0" xfId="0" applyNumberFormat="1" applyFont="1" applyFill="1" applyBorder="1" applyAlignment="1">
      <alignment vertical="center"/>
    </xf>
    <xf numFmtId="1" fontId="42" fillId="35" borderId="55" xfId="0" applyNumberFormat="1" applyFont="1" applyFill="1" applyBorder="1" applyAlignment="1">
      <alignment vertical="center"/>
    </xf>
    <xf numFmtId="1" fontId="43" fillId="35" borderId="55" xfId="0" applyNumberFormat="1" applyFont="1" applyFill="1" applyBorder="1" applyAlignment="1">
      <alignment vertical="center"/>
    </xf>
    <xf numFmtId="0" fontId="60" fillId="0" borderId="46" xfId="0" applyFont="1" applyFill="1" applyBorder="1" applyAlignment="1">
      <alignment horizontal="center" vertical="center"/>
    </xf>
    <xf numFmtId="0" fontId="51" fillId="0" borderId="47" xfId="0" applyFont="1" applyFill="1" applyBorder="1" applyAlignment="1">
      <alignment vertical="center"/>
    </xf>
    <xf numFmtId="1" fontId="61" fillId="0" borderId="48" xfId="0" applyNumberFormat="1" applyFont="1" applyFill="1" applyBorder="1" applyAlignment="1">
      <alignment horizontal="right" vertical="center"/>
    </xf>
    <xf numFmtId="1" fontId="61" fillId="0" borderId="64" xfId="0" applyNumberFormat="1" applyFont="1" applyFill="1" applyBorder="1" applyAlignment="1">
      <alignment horizontal="right" vertical="center"/>
    </xf>
    <xf numFmtId="1" fontId="61" fillId="0" borderId="39" xfId="0" applyNumberFormat="1" applyFont="1" applyFill="1" applyBorder="1" applyAlignment="1">
      <alignment horizontal="right" vertical="center"/>
    </xf>
    <xf numFmtId="1" fontId="61" fillId="0" borderId="50" xfId="0" applyNumberFormat="1" applyFont="1" applyFill="1" applyBorder="1" applyAlignment="1">
      <alignment horizontal="right" vertical="center"/>
    </xf>
    <xf numFmtId="1" fontId="61" fillId="0" borderId="40" xfId="0" applyNumberFormat="1" applyFont="1" applyFill="1" applyBorder="1" applyAlignment="1">
      <alignment horizontal="right" vertical="center"/>
    </xf>
    <xf numFmtId="1" fontId="61" fillId="0" borderId="65" xfId="0" applyNumberFormat="1" applyFont="1" applyFill="1" applyBorder="1" applyAlignment="1">
      <alignment horizontal="right" vertical="center"/>
    </xf>
    <xf numFmtId="1" fontId="61" fillId="0" borderId="40" xfId="0" applyNumberFormat="1" applyFont="1" applyFill="1" applyBorder="1" applyAlignment="1">
      <alignment vertical="center"/>
    </xf>
    <xf numFmtId="0" fontId="51" fillId="0" borderId="41" xfId="0" applyFont="1" applyFill="1" applyBorder="1" applyAlignment="1">
      <alignment horizontal="center" vertical="center"/>
    </xf>
    <xf numFmtId="0" fontId="51" fillId="0" borderId="53" xfId="0" applyFont="1" applyFill="1" applyBorder="1" applyAlignment="1">
      <alignment vertical="center"/>
    </xf>
    <xf numFmtId="1" fontId="61" fillId="0" borderId="54" xfId="0" applyNumberFormat="1" applyFont="1" applyFill="1" applyBorder="1" applyAlignment="1">
      <alignment horizontal="right" vertical="center"/>
    </xf>
    <xf numFmtId="1" fontId="61" fillId="0" borderId="56" xfId="0" applyNumberFormat="1" applyFont="1" applyFill="1" applyBorder="1" applyAlignment="1">
      <alignment horizontal="right" vertical="center"/>
    </xf>
    <xf numFmtId="1" fontId="61" fillId="0" borderId="0" xfId="0" applyNumberFormat="1" applyFont="1" applyFill="1" applyBorder="1" applyAlignment="1">
      <alignment horizontal="right" vertical="center"/>
    </xf>
    <xf numFmtId="1" fontId="61" fillId="0" borderId="55" xfId="0" applyNumberFormat="1" applyFont="1" applyFill="1" applyBorder="1" applyAlignment="1">
      <alignment horizontal="right" vertical="center"/>
    </xf>
    <xf numFmtId="1" fontId="61" fillId="0" borderId="52" xfId="0" applyNumberFormat="1" applyFont="1" applyFill="1" applyBorder="1" applyAlignment="1">
      <alignment horizontal="right" vertical="center"/>
    </xf>
    <xf numFmtId="1" fontId="61" fillId="0" borderId="51" xfId="0" applyNumberFormat="1" applyFont="1" applyFill="1" applyBorder="1" applyAlignment="1">
      <alignment horizontal="right" vertical="center"/>
    </xf>
    <xf numFmtId="1" fontId="61" fillId="0" borderId="52" xfId="0" applyNumberFormat="1" applyFont="1" applyFill="1" applyBorder="1" applyAlignment="1">
      <alignment vertical="center"/>
    </xf>
    <xf numFmtId="0" fontId="55" fillId="0" borderId="57" xfId="0" applyFont="1" applyFill="1" applyBorder="1" applyAlignment="1">
      <alignment horizontal="center" vertical="center"/>
    </xf>
    <xf numFmtId="1" fontId="61" fillId="0" borderId="59" xfId="0" applyNumberFormat="1" applyFont="1" applyFill="1" applyBorder="1" applyAlignment="1">
      <alignment horizontal="right" vertical="center"/>
    </xf>
    <xf numFmtId="1" fontId="61" fillId="0" borderId="66" xfId="0" applyNumberFormat="1" applyFont="1" applyFill="1" applyBorder="1" applyAlignment="1">
      <alignment horizontal="right" vertical="center"/>
    </xf>
    <xf numFmtId="1" fontId="61" fillId="0" borderId="37" xfId="0" applyNumberFormat="1" applyFont="1" applyFill="1" applyBorder="1" applyAlignment="1">
      <alignment horizontal="right" vertical="center"/>
    </xf>
    <xf numFmtId="1" fontId="61" fillId="0" borderId="62" xfId="0" applyNumberFormat="1" applyFont="1" applyFill="1" applyBorder="1" applyAlignment="1">
      <alignment horizontal="right" vertical="center"/>
    </xf>
    <xf numFmtId="1" fontId="61" fillId="0" borderId="60" xfId="0" applyNumberFormat="1" applyFont="1" applyFill="1" applyBorder="1" applyAlignment="1">
      <alignment horizontal="right" vertical="center"/>
    </xf>
    <xf numFmtId="1" fontId="61" fillId="0" borderId="61" xfId="0" applyNumberFormat="1" applyFont="1" applyFill="1" applyBorder="1" applyAlignment="1">
      <alignment horizontal="right" vertical="center"/>
    </xf>
    <xf numFmtId="1" fontId="61" fillId="0" borderId="60" xfId="0" applyNumberFormat="1" applyFont="1" applyFill="1" applyBorder="1" applyAlignment="1">
      <alignment vertical="center"/>
    </xf>
    <xf numFmtId="1" fontId="61" fillId="36" borderId="56" xfId="0" applyNumberFormat="1" applyFont="1" applyFill="1" applyBorder="1" applyAlignment="1">
      <alignment horizontal="right" vertical="center"/>
    </xf>
    <xf numFmtId="1" fontId="61" fillId="36" borderId="0" xfId="0" applyNumberFormat="1" applyFont="1" applyFill="1" applyBorder="1" applyAlignment="1">
      <alignment horizontal="right" vertical="center"/>
    </xf>
    <xf numFmtId="1" fontId="61" fillId="36" borderId="55" xfId="0" applyNumberFormat="1" applyFont="1" applyFill="1" applyBorder="1" applyAlignment="1">
      <alignment horizontal="right" vertical="center"/>
    </xf>
    <xf numFmtId="1" fontId="61" fillId="36" borderId="67" xfId="0" applyNumberFormat="1" applyFont="1" applyFill="1" applyBorder="1" applyAlignment="1">
      <alignment horizontal="right" vertical="center"/>
    </xf>
    <xf numFmtId="1" fontId="61" fillId="36" borderId="52" xfId="0" applyNumberFormat="1" applyFont="1" applyFill="1" applyBorder="1" applyAlignment="1">
      <alignment horizontal="right" vertical="center"/>
    </xf>
    <xf numFmtId="1" fontId="61" fillId="36" borderId="51" xfId="0" applyNumberFormat="1" applyFont="1" applyFill="1" applyBorder="1" applyAlignment="1">
      <alignment horizontal="right" vertical="center"/>
    </xf>
    <xf numFmtId="1" fontId="61" fillId="36" borderId="52" xfId="0" applyNumberFormat="1" applyFont="1" applyFill="1" applyBorder="1" applyAlignment="1">
      <alignment vertical="center"/>
    </xf>
    <xf numFmtId="0" fontId="62" fillId="0" borderId="46" xfId="0" applyFont="1" applyFill="1" applyBorder="1" applyAlignment="1">
      <alignment horizontal="center" vertical="center"/>
    </xf>
    <xf numFmtId="0" fontId="39" fillId="0" borderId="47" xfId="0" applyFont="1" applyFill="1" applyBorder="1" applyAlignment="1">
      <alignment vertical="center"/>
    </xf>
    <xf numFmtId="1" fontId="40" fillId="0" borderId="48" xfId="0" applyNumberFormat="1" applyFont="1" applyFill="1" applyBorder="1" applyAlignment="1">
      <alignment horizontal="right" vertical="center"/>
    </xf>
    <xf numFmtId="1" fontId="40" fillId="0" borderId="64" xfId="0" applyNumberFormat="1" applyFont="1" applyFill="1" applyBorder="1" applyAlignment="1">
      <alignment horizontal="right" vertical="center"/>
    </xf>
    <xf numFmtId="1" fontId="40" fillId="0" borderId="39" xfId="0" applyNumberFormat="1" applyFont="1" applyFill="1" applyBorder="1" applyAlignment="1">
      <alignment horizontal="right" vertical="center"/>
    </xf>
    <xf numFmtId="1" fontId="40" fillId="0" borderId="50" xfId="0" applyNumberFormat="1" applyFont="1" applyFill="1" applyBorder="1" applyAlignment="1">
      <alignment horizontal="right" vertical="center"/>
    </xf>
    <xf numFmtId="1" fontId="40" fillId="0" borderId="40" xfId="0" applyNumberFormat="1" applyFont="1" applyFill="1" applyBorder="1" applyAlignment="1">
      <alignment horizontal="right" vertical="center"/>
    </xf>
    <xf numFmtId="1" fontId="40" fillId="0" borderId="65" xfId="0" applyNumberFormat="1" applyFont="1" applyFill="1" applyBorder="1" applyAlignment="1">
      <alignment horizontal="right" vertical="center"/>
    </xf>
    <xf numFmtId="0" fontId="39" fillId="0" borderId="41" xfId="0" applyFont="1" applyFill="1" applyBorder="1" applyAlignment="1">
      <alignment horizontal="center" vertical="center"/>
    </xf>
    <xf numFmtId="0" fontId="39" fillId="0" borderId="53" xfId="0" applyFont="1" applyFill="1" applyBorder="1" applyAlignment="1">
      <alignment vertical="center"/>
    </xf>
    <xf numFmtId="1" fontId="40" fillId="0" borderId="54" xfId="0" applyNumberFormat="1" applyFont="1" applyFill="1" applyBorder="1" applyAlignment="1">
      <alignment horizontal="right" vertical="center"/>
    </xf>
    <xf numFmtId="1" fontId="40" fillId="0" borderId="56" xfId="0" applyNumberFormat="1" applyFont="1" applyFill="1" applyBorder="1" applyAlignment="1">
      <alignment horizontal="right" vertical="center"/>
    </xf>
    <xf numFmtId="1" fontId="40" fillId="0" borderId="0" xfId="0" applyNumberFormat="1" applyFont="1" applyFill="1" applyBorder="1" applyAlignment="1">
      <alignment horizontal="right" vertical="center"/>
    </xf>
    <xf numFmtId="1" fontId="40" fillId="0" borderId="55" xfId="0" applyNumberFormat="1" applyFont="1" applyFill="1" applyBorder="1" applyAlignment="1">
      <alignment horizontal="right" vertical="center"/>
    </xf>
    <xf numFmtId="1" fontId="40" fillId="0" borderId="52" xfId="0" applyNumberFormat="1" applyFont="1" applyFill="1" applyBorder="1" applyAlignment="1">
      <alignment horizontal="right" vertical="center"/>
    </xf>
    <xf numFmtId="1" fontId="40" fillId="0" borderId="51" xfId="0" applyNumberFormat="1" applyFont="1" applyFill="1" applyBorder="1" applyAlignment="1">
      <alignment horizontal="right" vertical="center"/>
    </xf>
    <xf numFmtId="0" fontId="39" fillId="0" borderId="57" xfId="0" applyFont="1" applyFill="1" applyBorder="1" applyAlignment="1">
      <alignment horizontal="center" vertical="center"/>
    </xf>
    <xf numFmtId="0" fontId="63" fillId="0" borderId="58" xfId="0" applyFont="1" applyFill="1" applyBorder="1" applyAlignment="1">
      <alignment vertical="center"/>
    </xf>
    <xf numFmtId="1" fontId="40" fillId="0" borderId="59" xfId="0" applyNumberFormat="1" applyFont="1" applyFill="1" applyBorder="1" applyAlignment="1">
      <alignment horizontal="right" vertical="center"/>
    </xf>
    <xf numFmtId="1" fontId="40" fillId="0" borderId="66" xfId="0" applyNumberFormat="1" applyFont="1" applyFill="1" applyBorder="1" applyAlignment="1">
      <alignment horizontal="right" vertical="center"/>
    </xf>
    <xf numFmtId="1" fontId="40" fillId="0" borderId="37" xfId="0" applyNumberFormat="1" applyFont="1" applyFill="1" applyBorder="1" applyAlignment="1">
      <alignment horizontal="right" vertical="center"/>
    </xf>
    <xf numFmtId="1" fontId="40" fillId="0" borderId="62" xfId="0" applyNumberFormat="1" applyFont="1" applyFill="1" applyBorder="1" applyAlignment="1">
      <alignment horizontal="right" vertical="center"/>
    </xf>
    <xf numFmtId="1" fontId="40" fillId="0" borderId="60" xfId="0" applyNumberFormat="1" applyFont="1" applyFill="1" applyBorder="1" applyAlignment="1">
      <alignment horizontal="right" vertical="center"/>
    </xf>
    <xf numFmtId="1" fontId="40" fillId="0" borderId="61" xfId="0" applyNumberFormat="1" applyFont="1" applyFill="1" applyBorder="1" applyAlignment="1">
      <alignment horizontal="right" vertical="center"/>
    </xf>
    <xf numFmtId="1" fontId="40" fillId="37" borderId="54" xfId="0" applyNumberFormat="1" applyFont="1" applyFill="1" applyBorder="1" applyAlignment="1">
      <alignment horizontal="right" vertical="center"/>
    </xf>
    <xf numFmtId="1" fontId="39" fillId="37" borderId="56" xfId="0" applyNumberFormat="1" applyFont="1" applyFill="1" applyBorder="1" applyAlignment="1">
      <alignment horizontal="right" vertical="center"/>
    </xf>
    <xf numFmtId="1" fontId="40" fillId="37" borderId="0" xfId="0" applyNumberFormat="1" applyFont="1" applyFill="1" applyBorder="1" applyAlignment="1">
      <alignment horizontal="right" vertical="center"/>
    </xf>
    <xf numFmtId="1" fontId="40" fillId="37" borderId="55" xfId="0" applyNumberFormat="1" applyFont="1" applyFill="1" applyBorder="1" applyAlignment="1">
      <alignment horizontal="right" vertical="center"/>
    </xf>
    <xf numFmtId="1" fontId="40" fillId="37" borderId="56" xfId="0" applyNumberFormat="1" applyFont="1" applyFill="1" applyBorder="1" applyAlignment="1">
      <alignment horizontal="right" vertical="center"/>
    </xf>
    <xf numFmtId="1" fontId="40" fillId="37" borderId="52" xfId="0" applyNumberFormat="1" applyFont="1" applyFill="1" applyBorder="1" applyAlignment="1">
      <alignment horizontal="right" vertical="center"/>
    </xf>
    <xf numFmtId="1" fontId="40" fillId="37" borderId="51" xfId="0" applyNumberFormat="1" applyFont="1" applyFill="1" applyBorder="1" applyAlignment="1">
      <alignment horizontal="right" vertical="center"/>
    </xf>
    <xf numFmtId="0" fontId="41" fillId="0" borderId="46" xfId="0" applyFont="1" applyFill="1" applyBorder="1" applyAlignment="1">
      <alignment vertical="center"/>
    </xf>
    <xf numFmtId="0" fontId="65" fillId="0" borderId="47" xfId="0" applyFont="1" applyFill="1" applyBorder="1" applyAlignment="1">
      <alignment vertical="center"/>
    </xf>
    <xf numFmtId="0" fontId="41" fillId="0" borderId="41" xfId="0" applyFont="1" applyFill="1" applyBorder="1" applyAlignment="1">
      <alignment vertical="center"/>
    </xf>
    <xf numFmtId="1" fontId="42" fillId="35" borderId="54" xfId="0" applyNumberFormat="1" applyFont="1" applyFill="1" applyBorder="1" applyAlignment="1">
      <alignment vertical="center"/>
    </xf>
    <xf numFmtId="0" fontId="57" fillId="0" borderId="46" xfId="0" applyFont="1" applyFill="1" applyBorder="1" applyAlignment="1">
      <alignment vertical="center"/>
    </xf>
    <xf numFmtId="0" fontId="66" fillId="0" borderId="47" xfId="0" applyFont="1" applyFill="1" applyBorder="1" applyAlignment="1">
      <alignment vertical="center"/>
    </xf>
    <xf numFmtId="1" fontId="58" fillId="0" borderId="48" xfId="0" applyNumberFormat="1" applyFont="1" applyFill="1" applyBorder="1" applyAlignment="1">
      <alignment horizontal="right" vertical="center"/>
    </xf>
    <xf numFmtId="172" fontId="58" fillId="0" borderId="64" xfId="0" applyNumberFormat="1" applyFont="1" applyFill="1" applyBorder="1" applyAlignment="1">
      <alignment horizontal="right" vertical="center"/>
    </xf>
    <xf numFmtId="172" fontId="58" fillId="0" borderId="39" xfId="0" applyNumberFormat="1" applyFont="1" applyFill="1" applyBorder="1" applyAlignment="1">
      <alignment horizontal="right" vertical="center"/>
    </xf>
    <xf numFmtId="172" fontId="58" fillId="0" borderId="50" xfId="0" applyNumberFormat="1" applyFont="1" applyFill="1" applyBorder="1" applyAlignment="1">
      <alignment horizontal="right" vertical="center"/>
    </xf>
    <xf numFmtId="172" fontId="58" fillId="0" borderId="48" xfId="0" applyNumberFormat="1" applyFont="1" applyFill="1" applyBorder="1" applyAlignment="1">
      <alignment horizontal="right" vertical="center"/>
    </xf>
    <xf numFmtId="1" fontId="58" fillId="0" borderId="40" xfId="0" applyNumberFormat="1" applyFont="1" applyFill="1" applyBorder="1" applyAlignment="1">
      <alignment horizontal="right" vertical="center"/>
    </xf>
    <xf numFmtId="0" fontId="57" fillId="0" borderId="41" xfId="0" applyFont="1" applyFill="1" applyBorder="1" applyAlignment="1">
      <alignment vertical="center"/>
    </xf>
    <xf numFmtId="0" fontId="20" fillId="0" borderId="53" xfId="0" applyFont="1" applyFill="1" applyBorder="1" applyAlignment="1">
      <alignment vertical="center"/>
    </xf>
    <xf numFmtId="1" fontId="58" fillId="0" borderId="54" xfId="0" applyNumberFormat="1" applyFont="1" applyFill="1" applyBorder="1" applyAlignment="1">
      <alignment horizontal="right" vertical="center"/>
    </xf>
    <xf numFmtId="172" fontId="58" fillId="0" borderId="56" xfId="0" applyNumberFormat="1" applyFont="1" applyFill="1" applyBorder="1" applyAlignment="1">
      <alignment horizontal="right" vertical="center"/>
    </xf>
    <xf numFmtId="172" fontId="58" fillId="0" borderId="0" xfId="0" applyNumberFormat="1" applyFont="1" applyFill="1" applyBorder="1" applyAlignment="1">
      <alignment horizontal="right" vertical="center"/>
    </xf>
    <xf numFmtId="172" fontId="58" fillId="0" borderId="55" xfId="0" applyNumberFormat="1" applyFont="1" applyFill="1" applyBorder="1" applyAlignment="1">
      <alignment horizontal="right" vertical="center"/>
    </xf>
    <xf numFmtId="172" fontId="58" fillId="0" borderId="54" xfId="0" applyNumberFormat="1" applyFont="1" applyFill="1" applyBorder="1" applyAlignment="1">
      <alignment horizontal="right" vertical="center"/>
    </xf>
    <xf numFmtId="1" fontId="58" fillId="0" borderId="52" xfId="0" applyNumberFormat="1" applyFont="1" applyFill="1" applyBorder="1" applyAlignment="1">
      <alignment horizontal="right" vertical="center"/>
    </xf>
    <xf numFmtId="0" fontId="20" fillId="0" borderId="41" xfId="0" applyFont="1" applyFill="1" applyBorder="1" applyAlignment="1">
      <alignment vertical="center"/>
    </xf>
    <xf numFmtId="0" fontId="20" fillId="0" borderId="57" xfId="0" applyFont="1" applyFill="1" applyBorder="1" applyAlignment="1">
      <alignment vertical="center"/>
    </xf>
    <xf numFmtId="0" fontId="20" fillId="0" borderId="58" xfId="0" applyFont="1" applyFill="1" applyBorder="1" applyAlignment="1">
      <alignment vertical="center"/>
    </xf>
    <xf numFmtId="1" fontId="58" fillId="0" borderId="59" xfId="0" applyNumberFormat="1" applyFont="1" applyFill="1" applyBorder="1" applyAlignment="1">
      <alignment horizontal="right" vertical="center"/>
    </xf>
    <xf numFmtId="172" fontId="58" fillId="0" borderId="66" xfId="0" applyNumberFormat="1" applyFont="1" applyFill="1" applyBorder="1" applyAlignment="1">
      <alignment horizontal="right" vertical="center"/>
    </xf>
    <xf numFmtId="172" fontId="58" fillId="0" borderId="37" xfId="0" applyNumberFormat="1" applyFont="1" applyFill="1" applyBorder="1" applyAlignment="1">
      <alignment horizontal="right" vertical="center"/>
    </xf>
    <xf numFmtId="172" fontId="58" fillId="0" borderId="62" xfId="0" applyNumberFormat="1" applyFont="1" applyFill="1" applyBorder="1" applyAlignment="1">
      <alignment horizontal="right" vertical="center"/>
    </xf>
    <xf numFmtId="172" fontId="58" fillId="0" borderId="59" xfId="0" applyNumberFormat="1" applyFont="1" applyFill="1" applyBorder="1" applyAlignment="1">
      <alignment horizontal="right" vertical="center"/>
    </xf>
    <xf numFmtId="1" fontId="58" fillId="0" borderId="60" xfId="0" applyNumberFormat="1" applyFont="1" applyFill="1" applyBorder="1" applyAlignment="1">
      <alignment horizontal="right" vertical="center"/>
    </xf>
    <xf numFmtId="1" fontId="58" fillId="34" borderId="54" xfId="0" applyNumberFormat="1" applyFont="1" applyFill="1" applyBorder="1" applyAlignment="1">
      <alignment horizontal="right" vertical="center"/>
    </xf>
    <xf numFmtId="1" fontId="58" fillId="34" borderId="56" xfId="0" applyNumberFormat="1" applyFont="1" applyFill="1" applyBorder="1" applyAlignment="1">
      <alignment horizontal="right" vertical="center"/>
    </xf>
    <xf numFmtId="1" fontId="58" fillId="34" borderId="0" xfId="0" applyNumberFormat="1" applyFont="1" applyFill="1" applyBorder="1" applyAlignment="1">
      <alignment horizontal="right" vertical="center"/>
    </xf>
    <xf numFmtId="1" fontId="58" fillId="34" borderId="55" xfId="0" applyNumberFormat="1" applyFont="1" applyFill="1" applyBorder="1" applyAlignment="1">
      <alignment horizontal="right" vertical="center"/>
    </xf>
    <xf numFmtId="1" fontId="58" fillId="34" borderId="52" xfId="0" applyNumberFormat="1" applyFont="1" applyFill="1" applyBorder="1" applyAlignment="1">
      <alignment horizontal="right" vertical="center"/>
    </xf>
    <xf numFmtId="1" fontId="58" fillId="34" borderId="51" xfId="0" applyNumberFormat="1" applyFont="1" applyFill="1" applyBorder="1" applyAlignment="1">
      <alignment horizontal="right" vertical="center"/>
    </xf>
    <xf numFmtId="0" fontId="54" fillId="0" borderId="46" xfId="0" applyFont="1" applyFill="1" applyBorder="1" applyAlignment="1">
      <alignment vertical="center"/>
    </xf>
    <xf numFmtId="0" fontId="29" fillId="0" borderId="47" xfId="0" applyFont="1" applyFill="1" applyBorder="1" applyAlignment="1">
      <alignment vertical="center"/>
    </xf>
    <xf numFmtId="1" fontId="67" fillId="0" borderId="48" xfId="0" applyNumberFormat="1" applyFont="1" applyFill="1" applyBorder="1" applyAlignment="1">
      <alignment horizontal="right" vertical="center"/>
    </xf>
    <xf numFmtId="172" fontId="67" fillId="0" borderId="64" xfId="0" applyNumberFormat="1" applyFont="1" applyFill="1" applyBorder="1" applyAlignment="1">
      <alignment horizontal="right" vertical="center"/>
    </xf>
    <xf numFmtId="172" fontId="67" fillId="0" borderId="39" xfId="0" applyNumberFormat="1" applyFont="1" applyFill="1" applyBorder="1" applyAlignment="1">
      <alignment horizontal="right" vertical="center"/>
    </xf>
    <xf numFmtId="172" fontId="67" fillId="0" borderId="50" xfId="0" applyNumberFormat="1" applyFont="1" applyFill="1" applyBorder="1" applyAlignment="1">
      <alignment horizontal="right" vertical="center"/>
    </xf>
    <xf numFmtId="172" fontId="67" fillId="0" borderId="48" xfId="0" applyNumberFormat="1" applyFont="1" applyFill="1" applyBorder="1" applyAlignment="1">
      <alignment horizontal="right" vertical="center"/>
    </xf>
    <xf numFmtId="172" fontId="67" fillId="0" borderId="65" xfId="0" applyNumberFormat="1" applyFont="1" applyFill="1" applyBorder="1" applyAlignment="1">
      <alignment horizontal="right" vertical="center"/>
    </xf>
    <xf numFmtId="1" fontId="67" fillId="0" borderId="40" xfId="0" applyNumberFormat="1" applyFont="1" applyFill="1" applyBorder="1" applyAlignment="1">
      <alignment vertical="center"/>
    </xf>
    <xf numFmtId="0" fontId="29" fillId="0" borderId="41" xfId="0" applyFont="1" applyFill="1" applyBorder="1" applyAlignment="1">
      <alignment vertical="center"/>
    </xf>
    <xf numFmtId="0" fontId="29" fillId="0" borderId="53" xfId="0" applyFont="1" applyFill="1" applyBorder="1" applyAlignment="1">
      <alignment vertical="center"/>
    </xf>
    <xf numFmtId="1" fontId="67" fillId="0" borderId="54" xfId="0" applyNumberFormat="1" applyFont="1" applyFill="1" applyBorder="1" applyAlignment="1">
      <alignment horizontal="right" vertical="center"/>
    </xf>
    <xf numFmtId="172" fontId="67" fillId="0" borderId="56" xfId="0" applyNumberFormat="1" applyFont="1" applyFill="1" applyBorder="1" applyAlignment="1">
      <alignment horizontal="right" vertical="center"/>
    </xf>
    <xf numFmtId="172" fontId="67" fillId="0" borderId="0" xfId="0" applyNumberFormat="1" applyFont="1" applyFill="1" applyBorder="1" applyAlignment="1">
      <alignment horizontal="right" vertical="center"/>
    </xf>
    <xf numFmtId="172" fontId="67" fillId="0" borderId="55" xfId="0" applyNumberFormat="1" applyFont="1" applyFill="1" applyBorder="1" applyAlignment="1">
      <alignment horizontal="right" vertical="center"/>
    </xf>
    <xf numFmtId="172" fontId="67" fillId="0" borderId="54" xfId="0" applyNumberFormat="1" applyFont="1" applyFill="1" applyBorder="1" applyAlignment="1">
      <alignment horizontal="right" vertical="center"/>
    </xf>
    <xf numFmtId="172" fontId="67" fillId="0" borderId="51" xfId="0" applyNumberFormat="1" applyFont="1" applyFill="1" applyBorder="1" applyAlignment="1">
      <alignment horizontal="right" vertical="center"/>
    </xf>
    <xf numFmtId="1" fontId="67" fillId="0" borderId="52" xfId="0" applyNumberFormat="1" applyFont="1" applyFill="1" applyBorder="1" applyAlignment="1">
      <alignment vertical="center"/>
    </xf>
    <xf numFmtId="0" fontId="29" fillId="0" borderId="57" xfId="0" applyFont="1" applyFill="1" applyBorder="1" applyAlignment="1">
      <alignment vertical="center"/>
    </xf>
    <xf numFmtId="0" fontId="29" fillId="0" borderId="58" xfId="0" applyFont="1" applyFill="1" applyBorder="1" applyAlignment="1">
      <alignment vertical="center"/>
    </xf>
    <xf numFmtId="1" fontId="67" fillId="0" borderId="59" xfId="0" applyNumberFormat="1" applyFont="1" applyFill="1" applyBorder="1" applyAlignment="1">
      <alignment horizontal="right" vertical="center"/>
    </xf>
    <xf numFmtId="172" fontId="67" fillId="0" borderId="66" xfId="0" applyNumberFormat="1" applyFont="1" applyFill="1" applyBorder="1" applyAlignment="1">
      <alignment horizontal="right" vertical="center"/>
    </xf>
    <xf numFmtId="172" fontId="67" fillId="0" borderId="37" xfId="0" applyNumberFormat="1" applyFont="1" applyFill="1" applyBorder="1" applyAlignment="1">
      <alignment horizontal="right" vertical="center"/>
    </xf>
    <xf numFmtId="172" fontId="67" fillId="0" borderId="62" xfId="0" applyNumberFormat="1" applyFont="1" applyFill="1" applyBorder="1" applyAlignment="1">
      <alignment horizontal="right" vertical="center"/>
    </xf>
    <xf numFmtId="172" fontId="67" fillId="0" borderId="59" xfId="0" applyNumberFormat="1" applyFont="1" applyFill="1" applyBorder="1" applyAlignment="1">
      <alignment horizontal="right" vertical="center"/>
    </xf>
    <xf numFmtId="172" fontId="67" fillId="0" borderId="61" xfId="0" applyNumberFormat="1" applyFont="1" applyFill="1" applyBorder="1" applyAlignment="1">
      <alignment horizontal="right" vertical="center"/>
    </xf>
    <xf numFmtId="1" fontId="67" fillId="0" borderId="60" xfId="0" applyNumberFormat="1" applyFont="1" applyFill="1" applyBorder="1" applyAlignment="1">
      <alignment vertical="center"/>
    </xf>
    <xf numFmtId="1" fontId="67" fillId="36" borderId="54" xfId="0" applyNumberFormat="1" applyFont="1" applyFill="1" applyBorder="1" applyAlignment="1">
      <alignment horizontal="right" vertical="center"/>
    </xf>
    <xf numFmtId="1" fontId="67" fillId="36" borderId="56" xfId="0" applyNumberFormat="1" applyFont="1" applyFill="1" applyBorder="1" applyAlignment="1">
      <alignment horizontal="right" vertical="center"/>
    </xf>
    <xf numFmtId="1" fontId="67" fillId="36" borderId="0" xfId="0" applyNumberFormat="1" applyFont="1" applyFill="1" applyBorder="1" applyAlignment="1">
      <alignment horizontal="right" vertical="center"/>
    </xf>
    <xf numFmtId="1" fontId="67" fillId="36" borderId="55" xfId="0" applyNumberFormat="1" applyFont="1" applyFill="1" applyBorder="1" applyAlignment="1">
      <alignment horizontal="right" vertical="center"/>
    </xf>
    <xf numFmtId="1" fontId="29" fillId="36" borderId="55" xfId="0" applyNumberFormat="1" applyFont="1" applyFill="1" applyBorder="1" applyAlignment="1">
      <alignment horizontal="right" vertical="center"/>
    </xf>
    <xf numFmtId="1" fontId="67" fillId="36" borderId="52" xfId="0" applyNumberFormat="1" applyFont="1" applyFill="1" applyBorder="1" applyAlignment="1">
      <alignment horizontal="right" vertical="center"/>
    </xf>
    <xf numFmtId="1" fontId="67" fillId="36" borderId="51" xfId="0" applyNumberFormat="1" applyFont="1" applyFill="1" applyBorder="1" applyAlignment="1">
      <alignment horizontal="right" vertical="center"/>
    </xf>
    <xf numFmtId="1" fontId="67" fillId="36" borderId="52" xfId="0" applyNumberFormat="1" applyFont="1" applyFill="1" applyBorder="1" applyAlignment="1">
      <alignment vertical="center"/>
    </xf>
    <xf numFmtId="1" fontId="11" fillId="33" borderId="68" xfId="0" applyNumberFormat="1" applyFont="1" applyFill="1" applyBorder="1" applyAlignment="1">
      <alignment horizontal="right" vertical="center"/>
    </xf>
    <xf numFmtId="1" fontId="25" fillId="33" borderId="69" xfId="0" applyNumberFormat="1" applyFont="1" applyFill="1" applyBorder="1" applyAlignment="1">
      <alignment horizontal="right" vertical="center"/>
    </xf>
    <xf numFmtId="1" fontId="25" fillId="33" borderId="67" xfId="0" applyNumberFormat="1" applyFont="1" applyFill="1" applyBorder="1" applyAlignment="1">
      <alignment horizontal="right" vertical="center"/>
    </xf>
    <xf numFmtId="1" fontId="25" fillId="33" borderId="63" xfId="0" applyNumberFormat="1" applyFont="1" applyFill="1" applyBorder="1" applyAlignment="1">
      <alignment horizontal="right" vertical="center"/>
    </xf>
    <xf numFmtId="1" fontId="25" fillId="33" borderId="68" xfId="0" applyNumberFormat="1" applyFont="1" applyFill="1" applyBorder="1" applyAlignment="1">
      <alignment horizontal="right" vertical="center"/>
    </xf>
    <xf numFmtId="1" fontId="25" fillId="33" borderId="70" xfId="0" applyNumberFormat="1" applyFont="1" applyFill="1" applyBorder="1" applyAlignment="1">
      <alignment horizontal="right" vertical="center"/>
    </xf>
    <xf numFmtId="1" fontId="25" fillId="33" borderId="71" xfId="0" applyNumberFormat="1" applyFont="1" applyFill="1" applyBorder="1" applyAlignment="1">
      <alignment horizontal="right" vertical="center"/>
    </xf>
    <xf numFmtId="1" fontId="69" fillId="0" borderId="0" xfId="0" applyNumberFormat="1" applyFont="1" applyFill="1" applyBorder="1" applyAlignment="1">
      <alignment horizontal="center" vertical="center" textRotation="90"/>
    </xf>
    <xf numFmtId="1" fontId="11" fillId="0" borderId="0" xfId="0" applyNumberFormat="1" applyFont="1" applyAlignment="1">
      <alignment vertical="center"/>
    </xf>
    <xf numFmtId="1" fontId="43" fillId="35" borderId="52" xfId="0" applyNumberFormat="1" applyFont="1" applyFill="1" applyBorder="1" applyAlignment="1">
      <alignment vertical="center"/>
    </xf>
    <xf numFmtId="1" fontId="58" fillId="0" borderId="0" xfId="0" applyNumberFormat="1" applyFont="1" applyFill="1" applyBorder="1" applyAlignment="1">
      <alignment horizontal="right" vertical="center"/>
    </xf>
    <xf numFmtId="1" fontId="58" fillId="0" borderId="55" xfId="0" applyNumberFormat="1" applyFont="1" applyFill="1" applyBorder="1" applyAlignment="1">
      <alignment horizontal="right" vertical="center"/>
    </xf>
    <xf numFmtId="1" fontId="67" fillId="0" borderId="37" xfId="0" applyNumberFormat="1" applyFont="1" applyFill="1" applyBorder="1" applyAlignment="1">
      <alignment horizontal="right" vertical="center"/>
    </xf>
    <xf numFmtId="1" fontId="67" fillId="0" borderId="40" xfId="0" applyNumberFormat="1" applyFont="1" applyFill="1" applyBorder="1" applyAlignment="1">
      <alignment horizontal="right" vertical="center"/>
    </xf>
    <xf numFmtId="1" fontId="67" fillId="0" borderId="52" xfId="0" applyNumberFormat="1" applyFont="1" applyFill="1" applyBorder="1" applyAlignment="1">
      <alignment horizontal="right" vertical="center"/>
    </xf>
    <xf numFmtId="1" fontId="67" fillId="0" borderId="60" xfId="0" applyNumberFormat="1" applyFont="1" applyFill="1" applyBorder="1" applyAlignment="1">
      <alignment horizontal="right" vertical="center"/>
    </xf>
    <xf numFmtId="1" fontId="24" fillId="33" borderId="69" xfId="0" applyNumberFormat="1" applyFont="1" applyFill="1" applyBorder="1" applyAlignment="1">
      <alignment horizontal="right" vertical="center"/>
    </xf>
    <xf numFmtId="1" fontId="61" fillId="36" borderId="54" xfId="0" applyNumberFormat="1" applyFont="1" applyFill="1" applyBorder="1" applyAlignment="1">
      <alignment horizontal="right" vertical="center"/>
    </xf>
    <xf numFmtId="1" fontId="58" fillId="34" borderId="72" xfId="0" applyNumberFormat="1" applyFont="1" applyFill="1" applyBorder="1" applyAlignment="1">
      <alignment vertical="center"/>
    </xf>
    <xf numFmtId="1" fontId="58" fillId="34" borderId="73" xfId="0" applyNumberFormat="1" applyFont="1" applyFill="1" applyBorder="1" applyAlignment="1">
      <alignment vertical="center"/>
    </xf>
    <xf numFmtId="1" fontId="58" fillId="34" borderId="68" xfId="0" applyNumberFormat="1" applyFont="1" applyFill="1" applyBorder="1" applyAlignment="1">
      <alignment vertical="center"/>
    </xf>
    <xf numFmtId="1" fontId="58" fillId="34" borderId="67" xfId="0" applyNumberFormat="1" applyFont="1" applyFill="1" applyBorder="1" applyAlignment="1">
      <alignment vertical="center"/>
    </xf>
    <xf numFmtId="1" fontId="58" fillId="34" borderId="69" xfId="0" applyNumberFormat="1" applyFont="1" applyFill="1" applyBorder="1" applyAlignment="1">
      <alignment vertical="center"/>
    </xf>
    <xf numFmtId="1" fontId="43" fillId="35" borderId="56" xfId="0" applyNumberFormat="1" applyFont="1" applyFill="1" applyBorder="1" applyAlignment="1">
      <alignment vertical="center"/>
    </xf>
    <xf numFmtId="1" fontId="42" fillId="35" borderId="56" xfId="0" applyNumberFormat="1" applyFont="1" applyFill="1" applyBorder="1" applyAlignment="1">
      <alignment vertical="center"/>
    </xf>
    <xf numFmtId="0" fontId="52" fillId="0" borderId="45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1" fontId="20" fillId="34" borderId="52" xfId="0" applyNumberFormat="1" applyFont="1" applyFill="1" applyBorder="1" applyAlignment="1">
      <alignment vertical="center"/>
    </xf>
    <xf numFmtId="1" fontId="70" fillId="35" borderId="0" xfId="0" applyNumberFormat="1" applyFont="1" applyFill="1" applyBorder="1" applyAlignment="1">
      <alignment vertical="center"/>
    </xf>
    <xf numFmtId="0" fontId="56" fillId="0" borderId="58" xfId="0" applyFont="1" applyFill="1" applyBorder="1" applyAlignment="1">
      <alignment vertical="center"/>
    </xf>
    <xf numFmtId="0" fontId="60" fillId="0" borderId="74" xfId="0" applyFont="1" applyBorder="1" applyAlignment="1">
      <alignment horizontal="center" vertical="center"/>
    </xf>
    <xf numFmtId="0" fontId="71" fillId="0" borderId="45" xfId="0" applyFont="1" applyBorder="1" applyAlignment="1">
      <alignment horizontal="center" vertical="center"/>
    </xf>
    <xf numFmtId="1" fontId="70" fillId="0" borderId="39" xfId="0" applyNumberFormat="1" applyFont="1" applyFill="1" applyBorder="1" applyAlignment="1">
      <alignment horizontal="right" vertical="center"/>
    </xf>
    <xf numFmtId="1" fontId="70" fillId="35" borderId="52" xfId="0" applyNumberFormat="1" applyFont="1" applyFill="1" applyBorder="1" applyAlignment="1">
      <alignment vertical="center"/>
    </xf>
    <xf numFmtId="1" fontId="58" fillId="0" borderId="65" xfId="0" applyNumberFormat="1" applyFont="1" applyFill="1" applyBorder="1" applyAlignment="1">
      <alignment horizontal="right" vertical="center"/>
    </xf>
    <xf numFmtId="1" fontId="58" fillId="0" borderId="39" xfId="0" applyNumberFormat="1" applyFont="1" applyFill="1" applyBorder="1" applyAlignment="1">
      <alignment horizontal="right" vertical="center"/>
    </xf>
    <xf numFmtId="1" fontId="58" fillId="0" borderId="50" xfId="0" applyNumberFormat="1" applyFont="1" applyFill="1" applyBorder="1" applyAlignment="1">
      <alignment horizontal="right" vertical="center"/>
    </xf>
    <xf numFmtId="1" fontId="58" fillId="0" borderId="51" xfId="0" applyNumberFormat="1" applyFont="1" applyFill="1" applyBorder="1" applyAlignment="1">
      <alignment horizontal="right" vertical="center"/>
    </xf>
    <xf numFmtId="1" fontId="58" fillId="0" borderId="61" xfId="0" applyNumberFormat="1" applyFont="1" applyFill="1" applyBorder="1" applyAlignment="1">
      <alignment horizontal="right" vertical="center"/>
    </xf>
    <xf numFmtId="1" fontId="58" fillId="0" borderId="37" xfId="0" applyNumberFormat="1" applyFont="1" applyFill="1" applyBorder="1" applyAlignment="1">
      <alignment horizontal="right" vertical="center"/>
    </xf>
    <xf numFmtId="1" fontId="58" fillId="0" borderId="62" xfId="0" applyNumberFormat="1" applyFont="1" applyFill="1" applyBorder="1" applyAlignment="1">
      <alignment horizontal="right" vertical="center"/>
    </xf>
    <xf numFmtId="1" fontId="67" fillId="0" borderId="50" xfId="0" applyNumberFormat="1" applyFont="1" applyFill="1" applyBorder="1" applyAlignment="1">
      <alignment horizontal="right" vertical="center"/>
    </xf>
    <xf numFmtId="1" fontId="29" fillId="0" borderId="62" xfId="0" applyNumberFormat="1" applyFont="1" applyFill="1" applyBorder="1" applyAlignment="1">
      <alignment horizontal="right" vertical="center"/>
    </xf>
    <xf numFmtId="1" fontId="11" fillId="0" borderId="0" xfId="0" applyNumberFormat="1" applyFont="1" applyAlignment="1">
      <alignment/>
    </xf>
    <xf numFmtId="0" fontId="29" fillId="0" borderId="15" xfId="0" applyFont="1" applyBorder="1" applyAlignment="1">
      <alignment horizontal="left" vertical="center" wrapText="1"/>
    </xf>
    <xf numFmtId="0" fontId="29" fillId="0" borderId="16" xfId="55" applyFont="1" applyBorder="1" applyAlignment="1" applyProtection="1">
      <alignment horizontal="left" vertical="center" wrapText="1"/>
      <protection locked="0"/>
    </xf>
    <xf numFmtId="0" fontId="2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vertical="center"/>
    </xf>
    <xf numFmtId="0" fontId="29" fillId="0" borderId="75" xfId="0" applyFont="1" applyBorder="1" applyAlignment="1">
      <alignment vertical="center"/>
    </xf>
    <xf numFmtId="0" fontId="29" fillId="0" borderId="16" xfId="56" applyFont="1" applyBorder="1" applyAlignment="1" applyProtection="1">
      <alignment horizontal="left" vertical="center" wrapText="1"/>
      <protection locked="0"/>
    </xf>
    <xf numFmtId="0" fontId="29" fillId="0" borderId="16" xfId="56" applyFont="1" applyBorder="1" applyAlignment="1" applyProtection="1">
      <alignment vertical="center"/>
      <protection locked="0"/>
    </xf>
    <xf numFmtId="0" fontId="29" fillId="0" borderId="75" xfId="55" applyFont="1" applyBorder="1" applyAlignment="1" applyProtection="1">
      <alignment horizontal="left" vertical="center" wrapText="1"/>
      <protection locked="0"/>
    </xf>
    <xf numFmtId="0" fontId="29" fillId="0" borderId="75" xfId="56" applyFont="1" applyBorder="1" applyAlignment="1" applyProtection="1">
      <alignment horizontal="left" vertical="center" wrapText="1"/>
      <protection locked="0"/>
    </xf>
    <xf numFmtId="0" fontId="29" fillId="0" borderId="75" xfId="56" applyFont="1" applyBorder="1" applyAlignment="1" applyProtection="1">
      <alignment vertical="center"/>
      <protection locked="0"/>
    </xf>
    <xf numFmtId="0" fontId="29" fillId="0" borderId="75" xfId="0" applyFont="1" applyBorder="1" applyAlignment="1">
      <alignment horizontal="left" vertical="center" wrapText="1"/>
    </xf>
    <xf numFmtId="0" fontId="29" fillId="0" borderId="76" xfId="55" applyFont="1" applyBorder="1" applyAlignment="1" applyProtection="1">
      <alignment horizontal="left" vertical="center" wrapText="1"/>
      <protection locked="0"/>
    </xf>
    <xf numFmtId="0" fontId="26" fillId="0" borderId="77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72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72" fillId="0" borderId="78" xfId="0" applyFont="1" applyBorder="1" applyAlignment="1">
      <alignment horizontal="center"/>
    </xf>
    <xf numFmtId="0" fontId="73" fillId="0" borderId="0" xfId="0" applyFont="1" applyBorder="1" applyAlignment="1">
      <alignment horizontal="center"/>
    </xf>
    <xf numFmtId="0" fontId="13" fillId="0" borderId="17" xfId="0" applyFont="1" applyBorder="1" applyAlignment="1">
      <alignment horizontal="right" vertical="center"/>
    </xf>
    <xf numFmtId="0" fontId="74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/>
    </xf>
    <xf numFmtId="0" fontId="20" fillId="0" borderId="79" xfId="0" applyFont="1" applyBorder="1" applyAlignment="1">
      <alignment horizontal="center" vertical="center"/>
    </xf>
    <xf numFmtId="0" fontId="20" fillId="0" borderId="8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6" fillId="0" borderId="81" xfId="0" applyFont="1" applyBorder="1" applyAlignment="1">
      <alignment horizontal="center" vertical="center"/>
    </xf>
    <xf numFmtId="1" fontId="29" fillId="0" borderId="82" xfId="0" applyNumberFormat="1" applyFont="1" applyBorder="1" applyAlignment="1">
      <alignment horizontal="right"/>
    </xf>
    <xf numFmtId="1" fontId="11" fillId="0" borderId="16" xfId="0" applyNumberFormat="1" applyFont="1" applyBorder="1" applyAlignment="1">
      <alignment horizontal="right" vertical="center"/>
    </xf>
    <xf numFmtId="0" fontId="29" fillId="0" borderId="14" xfId="55" applyFont="1" applyBorder="1" applyAlignment="1" applyProtection="1">
      <alignment horizontal="left" vertical="center" wrapText="1"/>
      <protection locked="0"/>
    </xf>
    <xf numFmtId="0" fontId="11" fillId="0" borderId="77" xfId="0" applyFont="1" applyBorder="1" applyAlignment="1">
      <alignment/>
    </xf>
    <xf numFmtId="1" fontId="20" fillId="0" borderId="77" xfId="0" applyNumberFormat="1" applyFont="1" applyBorder="1" applyAlignment="1">
      <alignment horizontal="right"/>
    </xf>
    <xf numFmtId="1" fontId="20" fillId="0" borderId="83" xfId="0" applyNumberFormat="1" applyFont="1" applyBorder="1" applyAlignment="1">
      <alignment horizontal="right"/>
    </xf>
    <xf numFmtId="1" fontId="10" fillId="0" borderId="77" xfId="0" applyNumberFormat="1" applyFont="1" applyBorder="1" applyAlignment="1">
      <alignment horizontal="right"/>
    </xf>
    <xf numFmtId="1" fontId="10" fillId="0" borderId="33" xfId="0" applyNumberFormat="1" applyFont="1" applyBorder="1" applyAlignment="1">
      <alignment horizontal="right"/>
    </xf>
    <xf numFmtId="1" fontId="10" fillId="0" borderId="83" xfId="0" applyNumberFormat="1" applyFont="1" applyBorder="1" applyAlignment="1">
      <alignment horizontal="right"/>
    </xf>
    <xf numFmtId="1" fontId="77" fillId="0" borderId="84" xfId="0" applyNumberFormat="1" applyFont="1" applyBorder="1" applyAlignment="1">
      <alignment horizontal="right"/>
    </xf>
    <xf numFmtId="1" fontId="77" fillId="0" borderId="85" xfId="0" applyNumberFormat="1" applyFont="1" applyBorder="1" applyAlignment="1">
      <alignment horizontal="right"/>
    </xf>
    <xf numFmtId="1" fontId="29" fillId="0" borderId="77" xfId="0" applyNumberFormat="1" applyFont="1" applyBorder="1" applyAlignment="1">
      <alignment horizontal="right"/>
    </xf>
    <xf numFmtId="1" fontId="29" fillId="0" borderId="33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1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4" fillId="0" borderId="0" xfId="0" applyNumberFormat="1" applyFont="1" applyAlignment="1">
      <alignment/>
    </xf>
    <xf numFmtId="1" fontId="81" fillId="0" borderId="82" xfId="0" applyNumberFormat="1" applyFont="1" applyBorder="1" applyAlignment="1">
      <alignment horizontal="right" vertical="center"/>
    </xf>
    <xf numFmtId="1" fontId="81" fillId="0" borderId="86" xfId="0" applyNumberFormat="1" applyFont="1" applyBorder="1" applyAlignment="1">
      <alignment horizontal="right" vertical="center"/>
    </xf>
    <xf numFmtId="0" fontId="53" fillId="0" borderId="45" xfId="0" applyFont="1" applyBorder="1" applyAlignment="1">
      <alignment horizontal="center" vertical="center"/>
    </xf>
    <xf numFmtId="0" fontId="55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4" fillId="0" borderId="52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78" fillId="0" borderId="79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/>
    </xf>
    <xf numFmtId="0" fontId="78" fillId="0" borderId="21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4" fillId="0" borderId="18" xfId="0" applyFont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5" fillId="0" borderId="80" xfId="0" applyFont="1" applyBorder="1" applyAlignment="1">
      <alignment horizontal="center" vertical="center"/>
    </xf>
    <xf numFmtId="0" fontId="75" fillId="0" borderId="79" xfId="0" applyFont="1" applyBorder="1" applyAlignment="1">
      <alignment horizontal="center" vertical="center"/>
    </xf>
    <xf numFmtId="1" fontId="58" fillId="0" borderId="87" xfId="0" applyNumberFormat="1" applyFont="1" applyBorder="1" applyAlignment="1">
      <alignment horizontal="right" vertical="center"/>
    </xf>
    <xf numFmtId="1" fontId="58" fillId="0" borderId="88" xfId="0" applyNumberFormat="1" applyFont="1" applyBorder="1" applyAlignment="1">
      <alignment horizontal="right" vertical="center"/>
    </xf>
    <xf numFmtId="1" fontId="79" fillId="0" borderId="89" xfId="0" applyNumberFormat="1" applyFont="1" applyBorder="1" applyAlignment="1">
      <alignment horizontal="right"/>
    </xf>
    <xf numFmtId="1" fontId="79" fillId="0" borderId="24" xfId="0" applyNumberFormat="1" applyFont="1" applyBorder="1" applyAlignment="1">
      <alignment horizontal="right"/>
    </xf>
    <xf numFmtId="1" fontId="79" fillId="0" borderId="87" xfId="0" applyNumberFormat="1" applyFont="1" applyBorder="1" applyAlignment="1">
      <alignment horizontal="right"/>
    </xf>
    <xf numFmtId="1" fontId="79" fillId="0" borderId="88" xfId="0" applyNumberFormat="1" applyFont="1" applyBorder="1" applyAlignment="1">
      <alignment horizontal="right"/>
    </xf>
    <xf numFmtId="1" fontId="81" fillId="0" borderId="90" xfId="0" applyNumberFormat="1" applyFont="1" applyBorder="1" applyAlignment="1">
      <alignment horizontal="right" vertical="center"/>
    </xf>
    <xf numFmtId="1" fontId="81" fillId="0" borderId="91" xfId="0" applyNumberFormat="1" applyFont="1" applyBorder="1" applyAlignment="1">
      <alignment horizontal="right" vertical="center"/>
    </xf>
    <xf numFmtId="1" fontId="67" fillId="0" borderId="89" xfId="0" applyNumberFormat="1" applyFont="1" applyBorder="1" applyAlignment="1">
      <alignment horizontal="right"/>
    </xf>
    <xf numFmtId="1" fontId="67" fillId="0" borderId="24" xfId="0" applyNumberFormat="1" applyFont="1" applyBorder="1" applyAlignment="1">
      <alignment horizontal="right"/>
    </xf>
    <xf numFmtId="1" fontId="67" fillId="0" borderId="91" xfId="0" applyNumberFormat="1" applyFont="1" applyBorder="1" applyAlignment="1">
      <alignment horizontal="right"/>
    </xf>
    <xf numFmtId="1" fontId="80" fillId="0" borderId="15" xfId="0" applyNumberFormat="1" applyFont="1" applyBorder="1" applyAlignment="1">
      <alignment horizontal="right" vertical="center"/>
    </xf>
    <xf numFmtId="1" fontId="25" fillId="0" borderId="15" xfId="0" applyNumberFormat="1" applyFont="1" applyBorder="1" applyAlignment="1">
      <alignment horizontal="right" vertical="center"/>
    </xf>
    <xf numFmtId="1" fontId="58" fillId="0" borderId="92" xfId="0" applyNumberFormat="1" applyFont="1" applyBorder="1" applyAlignment="1">
      <alignment horizontal="right" vertical="center"/>
    </xf>
    <xf numFmtId="1" fontId="58" fillId="0" borderId="93" xfId="0" applyNumberFormat="1" applyFont="1" applyBorder="1" applyAlignment="1">
      <alignment horizontal="right" vertical="center"/>
    </xf>
    <xf numFmtId="1" fontId="79" fillId="0" borderId="75" xfId="0" applyNumberFormat="1" applyFont="1" applyBorder="1" applyAlignment="1">
      <alignment horizontal="right"/>
    </xf>
    <xf numFmtId="1" fontId="79" fillId="0" borderId="31" xfId="0" applyNumberFormat="1" applyFont="1" applyBorder="1" applyAlignment="1">
      <alignment horizontal="right"/>
    </xf>
    <xf numFmtId="1" fontId="79" fillId="0" borderId="92" xfId="0" applyNumberFormat="1" applyFont="1" applyBorder="1" applyAlignment="1">
      <alignment horizontal="right"/>
    </xf>
    <xf numFmtId="1" fontId="79" fillId="0" borderId="93" xfId="0" applyNumberFormat="1" applyFont="1" applyBorder="1" applyAlignment="1">
      <alignment horizontal="right"/>
    </xf>
    <xf numFmtId="1" fontId="81" fillId="0" borderId="36" xfId="0" applyNumberFormat="1" applyFont="1" applyBorder="1" applyAlignment="1">
      <alignment horizontal="right" vertical="center"/>
    </xf>
    <xf numFmtId="1" fontId="67" fillId="0" borderId="75" xfId="0" applyNumberFormat="1" applyFont="1" applyBorder="1" applyAlignment="1">
      <alignment horizontal="right"/>
    </xf>
    <xf numFmtId="1" fontId="67" fillId="0" borderId="31" xfId="0" applyNumberFormat="1" applyFont="1" applyBorder="1" applyAlignment="1">
      <alignment horizontal="right"/>
    </xf>
    <xf numFmtId="1" fontId="67" fillId="0" borderId="82" xfId="0" applyNumberFormat="1" applyFont="1" applyBorder="1" applyAlignment="1">
      <alignment horizontal="right"/>
    </xf>
    <xf numFmtId="1" fontId="80" fillId="0" borderId="16" xfId="0" applyNumberFormat="1" applyFont="1" applyBorder="1" applyAlignment="1">
      <alignment horizontal="right" vertical="center"/>
    </xf>
    <xf numFmtId="1" fontId="25" fillId="0" borderId="16" xfId="0" applyNumberFormat="1" applyFont="1" applyBorder="1" applyAlignment="1">
      <alignment horizontal="right" vertical="center"/>
    </xf>
    <xf numFmtId="1" fontId="58" fillId="0" borderId="36" xfId="0" applyNumberFormat="1" applyFont="1" applyBorder="1" applyAlignment="1">
      <alignment horizontal="right" vertical="center"/>
    </xf>
    <xf numFmtId="1" fontId="58" fillId="0" borderId="94" xfId="0" applyNumberFormat="1" applyFont="1" applyBorder="1" applyAlignment="1">
      <alignment horizontal="right" vertical="center"/>
    </xf>
    <xf numFmtId="1" fontId="58" fillId="0" borderId="95" xfId="0" applyNumberFormat="1" applyFont="1" applyBorder="1" applyAlignment="1">
      <alignment horizontal="right" vertical="center"/>
    </xf>
    <xf numFmtId="1" fontId="79" fillId="0" borderId="94" xfId="0" applyNumberFormat="1" applyFont="1" applyBorder="1" applyAlignment="1">
      <alignment horizontal="right"/>
    </xf>
    <xf numFmtId="1" fontId="79" fillId="0" borderId="96" xfId="0" applyNumberFormat="1" applyFont="1" applyBorder="1" applyAlignment="1">
      <alignment horizontal="right"/>
    </xf>
    <xf numFmtId="1" fontId="58" fillId="0" borderId="75" xfId="0" applyNumberFormat="1" applyFont="1" applyBorder="1" applyAlignment="1">
      <alignment horizontal="right" vertical="center"/>
    </xf>
    <xf numFmtId="1" fontId="58" fillId="0" borderId="76" xfId="0" applyNumberFormat="1" applyFont="1" applyBorder="1" applyAlignment="1">
      <alignment horizontal="right" vertical="center"/>
    </xf>
    <xf numFmtId="1" fontId="58" fillId="0" borderId="97" xfId="0" applyNumberFormat="1" applyFont="1" applyBorder="1" applyAlignment="1">
      <alignment horizontal="right" vertical="center"/>
    </xf>
    <xf numFmtId="1" fontId="25" fillId="0" borderId="14" xfId="0" applyNumberFormat="1" applyFont="1" applyBorder="1" applyAlignment="1">
      <alignment horizontal="right" vertical="center"/>
    </xf>
    <xf numFmtId="1" fontId="58" fillId="0" borderId="98" xfId="0" applyNumberFormat="1" applyFont="1" applyBorder="1" applyAlignment="1">
      <alignment horizontal="right" vertical="center"/>
    </xf>
    <xf numFmtId="1" fontId="58" fillId="0" borderId="86" xfId="0" applyNumberFormat="1" applyFont="1" applyBorder="1" applyAlignment="1">
      <alignment horizontal="right" vertical="center"/>
    </xf>
    <xf numFmtId="1" fontId="79" fillId="0" borderId="76" xfId="0" applyNumberFormat="1" applyFont="1" applyBorder="1" applyAlignment="1">
      <alignment horizontal="right"/>
    </xf>
    <xf numFmtId="1" fontId="79" fillId="0" borderId="99" xfId="0" applyNumberFormat="1" applyFont="1" applyBorder="1" applyAlignment="1">
      <alignment horizontal="right"/>
    </xf>
    <xf numFmtId="1" fontId="79" fillId="0" borderId="100" xfId="0" applyNumberFormat="1" applyFont="1" applyBorder="1" applyAlignment="1">
      <alignment horizontal="right"/>
    </xf>
    <xf numFmtId="1" fontId="79" fillId="0" borderId="101" xfId="0" applyNumberFormat="1" applyFont="1" applyBorder="1" applyAlignment="1">
      <alignment horizontal="right"/>
    </xf>
    <xf numFmtId="1" fontId="81" fillId="0" borderId="98" xfId="0" applyNumberFormat="1" applyFont="1" applyBorder="1" applyAlignment="1">
      <alignment horizontal="right" vertical="center"/>
    </xf>
    <xf numFmtId="1" fontId="67" fillId="0" borderId="76" xfId="0" applyNumberFormat="1" applyFont="1" applyBorder="1" applyAlignment="1">
      <alignment horizontal="right"/>
    </xf>
    <xf numFmtId="1" fontId="67" fillId="0" borderId="99" xfId="0" applyNumberFormat="1" applyFont="1" applyBorder="1" applyAlignment="1">
      <alignment horizontal="right"/>
    </xf>
    <xf numFmtId="1" fontId="67" fillId="0" borderId="86" xfId="0" applyNumberFormat="1" applyFont="1" applyBorder="1" applyAlignment="1">
      <alignment horizontal="right"/>
    </xf>
    <xf numFmtId="1" fontId="80" fillId="0" borderId="20" xfId="0" applyNumberFormat="1" applyFont="1" applyBorder="1" applyAlignment="1">
      <alignment horizontal="right" vertical="center"/>
    </xf>
    <xf numFmtId="1" fontId="11" fillId="0" borderId="12" xfId="0" applyNumberFormat="1" applyFont="1" applyBorder="1" applyAlignment="1">
      <alignment horizontal="right"/>
    </xf>
    <xf numFmtId="1" fontId="82" fillId="0" borderId="85" xfId="0" applyNumberFormat="1" applyFont="1" applyBorder="1" applyAlignment="1">
      <alignment horizontal="right"/>
    </xf>
    <xf numFmtId="1" fontId="10" fillId="0" borderId="102" xfId="0" applyNumberFormat="1" applyFont="1" applyBorder="1" applyAlignment="1">
      <alignment horizontal="right"/>
    </xf>
    <xf numFmtId="1" fontId="29" fillId="0" borderId="85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1" fontId="20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7" fillId="0" borderId="0" xfId="0" applyFont="1" applyFill="1" applyAlignment="1">
      <alignment/>
    </xf>
    <xf numFmtId="0" fontId="87" fillId="0" borderId="0" xfId="0" applyFont="1" applyFill="1" applyAlignment="1">
      <alignment readingOrder="2"/>
    </xf>
    <xf numFmtId="1" fontId="88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1" fontId="86" fillId="0" borderId="0" xfId="0" applyNumberFormat="1" applyFont="1" applyFill="1" applyAlignment="1">
      <alignment vertical="center"/>
    </xf>
    <xf numFmtId="2" fontId="86" fillId="0" borderId="0" xfId="0" applyNumberFormat="1" applyFont="1" applyFill="1" applyAlignment="1">
      <alignment vertical="center"/>
    </xf>
    <xf numFmtId="0" fontId="87" fillId="0" borderId="0" xfId="0" applyFont="1" applyFill="1" applyAlignment="1">
      <alignment horizontal="right"/>
    </xf>
    <xf numFmtId="1" fontId="90" fillId="0" borderId="0" xfId="0" applyNumberFormat="1" applyFont="1" applyFill="1" applyAlignment="1">
      <alignment horizontal="center" vertical="center"/>
    </xf>
    <xf numFmtId="1" fontId="90" fillId="0" borderId="0" xfId="0" applyNumberFormat="1" applyFont="1" applyFill="1" applyAlignment="1">
      <alignment horizontal="center" vertical="center" readingOrder="2"/>
    </xf>
    <xf numFmtId="0" fontId="91" fillId="0" borderId="103" xfId="0" applyFont="1" applyFill="1" applyBorder="1" applyAlignment="1">
      <alignment horizontal="center" vertical="center"/>
    </xf>
    <xf numFmtId="0" fontId="91" fillId="0" borderId="104" xfId="0" applyFont="1" applyFill="1" applyBorder="1" applyAlignment="1">
      <alignment horizontal="center" vertical="center" wrapText="1"/>
    </xf>
    <xf numFmtId="0" fontId="92" fillId="0" borderId="105" xfId="0" applyFont="1" applyFill="1" applyBorder="1" applyAlignment="1">
      <alignment horizontal="center" vertical="center" wrapText="1"/>
    </xf>
    <xf numFmtId="0" fontId="91" fillId="0" borderId="105" xfId="0" applyFont="1" applyFill="1" applyBorder="1" applyAlignment="1">
      <alignment horizontal="center" vertical="center" wrapText="1"/>
    </xf>
    <xf numFmtId="1" fontId="87" fillId="0" borderId="105" xfId="0" applyNumberFormat="1" applyFont="1" applyFill="1" applyBorder="1" applyAlignment="1">
      <alignment horizontal="center" vertical="center" wrapText="1"/>
    </xf>
    <xf numFmtId="1" fontId="92" fillId="0" borderId="105" xfId="0" applyNumberFormat="1" applyFont="1" applyFill="1" applyBorder="1" applyAlignment="1">
      <alignment horizontal="center" vertical="center" wrapText="1"/>
    </xf>
    <xf numFmtId="2" fontId="87" fillId="0" borderId="106" xfId="0" applyNumberFormat="1" applyFont="1" applyFill="1" applyBorder="1" applyAlignment="1">
      <alignment horizontal="center" vertical="center" wrapText="1"/>
    </xf>
    <xf numFmtId="1" fontId="91" fillId="0" borderId="107" xfId="0" applyNumberFormat="1" applyFont="1" applyFill="1" applyBorder="1" applyAlignment="1">
      <alignment horizontal="center" vertical="center" wrapText="1"/>
    </xf>
    <xf numFmtId="1" fontId="91" fillId="0" borderId="0" xfId="0" applyNumberFormat="1" applyFont="1" applyFill="1" applyAlignment="1">
      <alignment horizontal="center" vertical="center"/>
    </xf>
    <xf numFmtId="1" fontId="91" fillId="0" borderId="0" xfId="0" applyNumberFormat="1" applyFont="1" applyFill="1" applyAlignment="1">
      <alignment horizontal="center" vertical="center" readingOrder="2"/>
    </xf>
    <xf numFmtId="0" fontId="91" fillId="0" borderId="0" xfId="0" applyFont="1" applyFill="1" applyAlignment="1">
      <alignment/>
    </xf>
    <xf numFmtId="0" fontId="91" fillId="0" borderId="108" xfId="0" applyFont="1" applyFill="1" applyBorder="1" applyAlignment="1">
      <alignment horizontal="right" vertical="center" indent="1"/>
    </xf>
    <xf numFmtId="1" fontId="91" fillId="0" borderId="109" xfId="0" applyNumberFormat="1" applyFont="1" applyFill="1" applyBorder="1" applyAlignment="1">
      <alignment horizontal="right" vertical="center" readingOrder="2"/>
    </xf>
    <xf numFmtId="1" fontId="92" fillId="0" borderId="110" xfId="0" applyNumberFormat="1" applyFont="1" applyFill="1" applyBorder="1" applyAlignment="1">
      <alignment vertical="center" wrapText="1" readingOrder="2"/>
    </xf>
    <xf numFmtId="1" fontId="91" fillId="0" borderId="110" xfId="0" applyNumberFormat="1" applyFont="1" applyFill="1" applyBorder="1" applyAlignment="1">
      <alignment vertical="center" wrapText="1" readingOrder="2"/>
    </xf>
    <xf numFmtId="1" fontId="91" fillId="0" borderId="110" xfId="0" applyNumberFormat="1" applyFont="1" applyFill="1" applyBorder="1" applyAlignment="1">
      <alignment vertical="center" readingOrder="2"/>
    </xf>
    <xf numFmtId="1" fontId="92" fillId="0" borderId="111" xfId="0" applyNumberFormat="1" applyFont="1" applyFill="1" applyBorder="1" applyAlignment="1">
      <alignment vertical="center" wrapText="1" readingOrder="2"/>
    </xf>
    <xf numFmtId="1" fontId="91" fillId="0" borderId="107" xfId="0" applyNumberFormat="1" applyFont="1" applyFill="1" applyBorder="1" applyAlignment="1">
      <alignment vertical="center" readingOrder="2"/>
    </xf>
    <xf numFmtId="0" fontId="91" fillId="0" borderId="0" xfId="0" applyFont="1" applyFill="1" applyAlignment="1">
      <alignment readingOrder="2"/>
    </xf>
    <xf numFmtId="1" fontId="92" fillId="0" borderId="110" xfId="0" applyNumberFormat="1" applyFont="1" applyFill="1" applyBorder="1" applyAlignment="1">
      <alignment vertical="center" readingOrder="2"/>
    </xf>
    <xf numFmtId="1" fontId="91" fillId="0" borderId="110" xfId="0" applyNumberFormat="1" applyFont="1" applyFill="1" applyBorder="1" applyAlignment="1">
      <alignment horizontal="right" vertical="center" readingOrder="2"/>
    </xf>
    <xf numFmtId="1" fontId="92" fillId="0" borderId="110" xfId="0" applyNumberFormat="1" applyFont="1" applyFill="1" applyBorder="1" applyAlignment="1">
      <alignment horizontal="right" vertical="center" readingOrder="2"/>
    </xf>
    <xf numFmtId="172" fontId="91" fillId="0" borderId="112" xfId="0" applyNumberFormat="1" applyFont="1" applyFill="1" applyBorder="1" applyAlignment="1">
      <alignment vertical="center" readingOrder="2"/>
    </xf>
    <xf numFmtId="1" fontId="91" fillId="0" borderId="113" xfId="0" applyNumberFormat="1" applyFont="1" applyFill="1" applyBorder="1" applyAlignment="1">
      <alignment vertical="center" readingOrder="2"/>
    </xf>
    <xf numFmtId="172" fontId="92" fillId="0" borderId="112" xfId="0" applyNumberFormat="1" applyFont="1" applyFill="1" applyBorder="1" applyAlignment="1">
      <alignment vertical="center" readingOrder="2"/>
    </xf>
    <xf numFmtId="2" fontId="91" fillId="0" borderId="112" xfId="0" applyNumberFormat="1" applyFont="1" applyFill="1" applyBorder="1" applyAlignment="1">
      <alignment vertical="center" readingOrder="2"/>
    </xf>
    <xf numFmtId="172" fontId="91" fillId="0" borderId="108" xfId="0" applyNumberFormat="1" applyFont="1" applyFill="1" applyBorder="1" applyAlignment="1">
      <alignment horizontal="right" vertical="center" indent="1"/>
    </xf>
    <xf numFmtId="2" fontId="91" fillId="0" borderId="110" xfId="0" applyNumberFormat="1" applyFont="1" applyFill="1" applyBorder="1" applyAlignment="1">
      <alignment horizontal="right" vertical="center" readingOrder="2"/>
    </xf>
    <xf numFmtId="2" fontId="91" fillId="0" borderId="110" xfId="0" applyNumberFormat="1" applyFont="1" applyFill="1" applyBorder="1" applyAlignment="1">
      <alignment vertical="center" readingOrder="2"/>
    </xf>
    <xf numFmtId="1" fontId="91" fillId="0" borderId="108" xfId="60" applyNumberFormat="1" applyFont="1" applyFill="1" applyBorder="1" applyAlignment="1">
      <alignment horizontal="right" vertical="center" indent="1"/>
      <protection/>
    </xf>
    <xf numFmtId="1" fontId="92" fillId="0" borderId="110" xfId="0" applyNumberFormat="1" applyFont="1" applyFill="1" applyBorder="1" applyAlignment="1" quotePrefix="1">
      <alignment vertical="center" readingOrder="2"/>
    </xf>
    <xf numFmtId="1" fontId="91" fillId="0" borderId="110" xfId="60" applyNumberFormat="1" applyFont="1" applyFill="1" applyBorder="1" applyAlignment="1">
      <alignment vertical="center" readingOrder="2"/>
      <protection/>
    </xf>
    <xf numFmtId="1" fontId="92" fillId="0" borderId="110" xfId="60" applyNumberFormat="1" applyFont="1" applyFill="1" applyBorder="1" applyAlignment="1">
      <alignment vertical="center" readingOrder="2"/>
      <protection/>
    </xf>
    <xf numFmtId="173" fontId="91" fillId="0" borderId="110" xfId="0" applyNumberFormat="1" applyFont="1" applyFill="1" applyBorder="1" applyAlignment="1" quotePrefix="1">
      <alignment horizontal="right" vertical="center" readingOrder="2"/>
    </xf>
    <xf numFmtId="173" fontId="91" fillId="0" borderId="110" xfId="0" applyNumberFormat="1" applyFont="1" applyFill="1" applyBorder="1" applyAlignment="1">
      <alignment vertical="center" readingOrder="2"/>
    </xf>
    <xf numFmtId="1" fontId="91" fillId="0" borderId="109" xfId="0" applyNumberFormat="1" applyFont="1" applyFill="1" applyBorder="1" applyAlignment="1">
      <alignment vertical="center" readingOrder="2"/>
    </xf>
    <xf numFmtId="1" fontId="91" fillId="0" borderId="110" xfId="0" applyNumberFormat="1" applyFont="1" applyFill="1" applyBorder="1" applyAlignment="1" quotePrefix="1">
      <alignment horizontal="right" vertical="center" readingOrder="2"/>
    </xf>
    <xf numFmtId="1" fontId="91" fillId="0" borderId="0" xfId="0" applyNumberFormat="1" applyFont="1" applyFill="1" applyAlignment="1">
      <alignment readingOrder="2"/>
    </xf>
    <xf numFmtId="0" fontId="91" fillId="0" borderId="0" xfId="0" applyFont="1" applyFill="1" applyBorder="1" applyAlignment="1">
      <alignment/>
    </xf>
    <xf numFmtId="1" fontId="91" fillId="0" borderId="112" xfId="0" applyNumberFormat="1" applyFont="1" applyFill="1" applyBorder="1" applyAlignment="1">
      <alignment vertical="center" readingOrder="2"/>
    </xf>
    <xf numFmtId="1" fontId="91" fillId="0" borderId="110" xfId="0" applyNumberFormat="1" applyFont="1" applyFill="1" applyBorder="1" applyAlignment="1" quotePrefix="1">
      <alignment vertical="center" readingOrder="2"/>
    </xf>
    <xf numFmtId="173" fontId="91" fillId="0" borderId="110" xfId="0" applyNumberFormat="1" applyFont="1" applyFill="1" applyBorder="1" applyAlignment="1">
      <alignment horizontal="right" vertical="center" readingOrder="2"/>
    </xf>
    <xf numFmtId="1" fontId="91" fillId="0" borderId="110" xfId="0" applyNumberFormat="1" applyFont="1" applyFill="1" applyBorder="1" applyAlignment="1">
      <alignment horizontal="right" vertical="center"/>
    </xf>
    <xf numFmtId="0" fontId="92" fillId="0" borderId="0" xfId="0" applyFont="1" applyFill="1" applyAlignment="1">
      <alignment horizontal="right" vertical="center" readingOrder="2"/>
    </xf>
    <xf numFmtId="0" fontId="91" fillId="0" borderId="108" xfId="0" applyFont="1" applyFill="1" applyBorder="1" applyAlignment="1">
      <alignment horizontal="right" indent="1"/>
    </xf>
    <xf numFmtId="1" fontId="91" fillId="0" borderId="109" xfId="0" applyNumberFormat="1" applyFont="1" applyFill="1" applyBorder="1" applyAlignment="1" quotePrefix="1">
      <alignment horizontal="right" vertical="center" readingOrder="2"/>
    </xf>
    <xf numFmtId="1" fontId="91" fillId="0" borderId="0" xfId="0" applyNumberFormat="1" applyFont="1" applyFill="1" applyAlignment="1">
      <alignment/>
    </xf>
    <xf numFmtId="172" fontId="91" fillId="0" borderId="110" xfId="0" applyNumberFormat="1" applyFont="1" applyFill="1" applyBorder="1" applyAlignment="1">
      <alignment horizontal="right" vertical="center" readingOrder="2"/>
    </xf>
    <xf numFmtId="172" fontId="91" fillId="0" borderId="110" xfId="0" applyNumberFormat="1" applyFont="1" applyFill="1" applyBorder="1" applyAlignment="1">
      <alignment vertical="center" readingOrder="2"/>
    </xf>
    <xf numFmtId="1" fontId="91" fillId="0" borderId="114" xfId="0" applyNumberFormat="1" applyFont="1" applyFill="1" applyBorder="1" applyAlignment="1">
      <alignment horizontal="right" vertical="center" readingOrder="2"/>
    </xf>
    <xf numFmtId="1" fontId="92" fillId="0" borderId="115" xfId="0" applyNumberFormat="1" applyFont="1" applyFill="1" applyBorder="1" applyAlignment="1">
      <alignment vertical="center" readingOrder="2"/>
    </xf>
    <xf numFmtId="1" fontId="91" fillId="0" borderId="115" xfId="0" applyNumberFormat="1" applyFont="1" applyFill="1" applyBorder="1" applyAlignment="1">
      <alignment vertical="center" readingOrder="2"/>
    </xf>
    <xf numFmtId="1" fontId="91" fillId="0" borderId="111" xfId="0" applyNumberFormat="1" applyFont="1" applyFill="1" applyBorder="1" applyAlignment="1">
      <alignment vertical="center" readingOrder="2"/>
    </xf>
    <xf numFmtId="1" fontId="91" fillId="0" borderId="116" xfId="0" applyNumberFormat="1" applyFont="1" applyFill="1" applyBorder="1" applyAlignment="1">
      <alignment vertical="center" readingOrder="2"/>
    </xf>
    <xf numFmtId="173" fontId="91" fillId="0" borderId="0" xfId="0" applyNumberFormat="1" applyFont="1" applyFill="1" applyAlignment="1">
      <alignment/>
    </xf>
    <xf numFmtId="1" fontId="91" fillId="0" borderId="117" xfId="0" applyNumberFormat="1" applyFont="1" applyFill="1" applyBorder="1" applyAlignment="1">
      <alignment vertical="center" readingOrder="2"/>
    </xf>
    <xf numFmtId="1" fontId="92" fillId="0" borderId="118" xfId="0" applyNumberFormat="1" applyFont="1" applyFill="1" applyBorder="1" applyAlignment="1">
      <alignment vertical="center" readingOrder="2"/>
    </xf>
    <xf numFmtId="1" fontId="91" fillId="0" borderId="105" xfId="0" applyNumberFormat="1" applyFont="1" applyFill="1" applyBorder="1" applyAlignment="1">
      <alignment vertical="center" readingOrder="2"/>
    </xf>
    <xf numFmtId="173" fontId="91" fillId="0" borderId="105" xfId="0" applyNumberFormat="1" applyFont="1" applyFill="1" applyBorder="1" applyAlignment="1">
      <alignment vertical="center" readingOrder="2"/>
    </xf>
    <xf numFmtId="173" fontId="91" fillId="0" borderId="118" xfId="0" applyNumberFormat="1" applyFont="1" applyFill="1" applyBorder="1" applyAlignment="1">
      <alignment vertical="center" readingOrder="2"/>
    </xf>
    <xf numFmtId="1" fontId="91" fillId="0" borderId="106" xfId="0" applyNumberFormat="1" applyFont="1" applyFill="1" applyBorder="1" applyAlignment="1">
      <alignment vertical="center" readingOrder="2"/>
    </xf>
    <xf numFmtId="1" fontId="91" fillId="0" borderId="103" xfId="0" applyNumberFormat="1" applyFont="1" applyFill="1" applyBorder="1" applyAlignment="1">
      <alignment vertical="center" readingOrder="2"/>
    </xf>
    <xf numFmtId="1" fontId="87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2" fontId="87" fillId="0" borderId="0" xfId="0" applyNumberFormat="1" applyFont="1" applyFill="1" applyAlignment="1">
      <alignment/>
    </xf>
    <xf numFmtId="0" fontId="94" fillId="0" borderId="0" xfId="0" applyFont="1" applyFill="1" applyAlignment="1">
      <alignment readingOrder="2"/>
    </xf>
    <xf numFmtId="0" fontId="94" fillId="0" borderId="0" xfId="0" applyFont="1" applyAlignment="1">
      <alignment/>
    </xf>
    <xf numFmtId="0" fontId="88" fillId="0" borderId="0" xfId="0" applyFont="1" applyFill="1" applyAlignment="1">
      <alignment vertical="center"/>
    </xf>
    <xf numFmtId="0" fontId="95" fillId="0" borderId="0" xfId="0" applyFont="1" applyFill="1" applyAlignment="1">
      <alignment vertical="center"/>
    </xf>
    <xf numFmtId="0" fontId="95" fillId="0" borderId="0" xfId="0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 readingOrder="2"/>
    </xf>
    <xf numFmtId="0" fontId="88" fillId="0" borderId="0" xfId="0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7" fillId="0" borderId="119" xfId="0" applyFont="1" applyFill="1" applyBorder="1" applyAlignment="1">
      <alignment horizontal="center" vertical="center" wrapText="1"/>
    </xf>
    <xf numFmtId="0" fontId="87" fillId="0" borderId="120" xfId="0" applyFont="1" applyFill="1" applyBorder="1" applyAlignment="1">
      <alignment horizontal="center" vertical="center" wrapText="1"/>
    </xf>
    <xf numFmtId="0" fontId="87" fillId="0" borderId="119" xfId="0" applyFont="1" applyFill="1" applyBorder="1" applyAlignment="1">
      <alignment horizontal="center" vertical="center"/>
    </xf>
    <xf numFmtId="0" fontId="87" fillId="0" borderId="121" xfId="0" applyFont="1" applyFill="1" applyBorder="1" applyAlignment="1">
      <alignment horizontal="center" vertical="center"/>
    </xf>
    <xf numFmtId="0" fontId="87" fillId="0" borderId="122" xfId="0" applyFont="1" applyFill="1" applyBorder="1" applyAlignment="1">
      <alignment horizontal="center" vertical="center"/>
    </xf>
    <xf numFmtId="0" fontId="87" fillId="0" borderId="123" xfId="0" applyFont="1" applyFill="1" applyBorder="1" applyAlignment="1">
      <alignment horizontal="center" vertical="center" wrapText="1"/>
    </xf>
    <xf numFmtId="0" fontId="87" fillId="0" borderId="124" xfId="0" applyFont="1" applyFill="1" applyBorder="1" applyAlignment="1">
      <alignment horizontal="center" vertical="center" wrapText="1"/>
    </xf>
    <xf numFmtId="0" fontId="87" fillId="0" borderId="122" xfId="0" applyFont="1" applyFill="1" applyBorder="1" applyAlignment="1">
      <alignment horizontal="center" vertical="center" wrapText="1"/>
    </xf>
    <xf numFmtId="0" fontId="87" fillId="0" borderId="112" xfId="0" applyFont="1" applyFill="1" applyBorder="1" applyAlignment="1">
      <alignment vertical="center"/>
    </xf>
    <xf numFmtId="0" fontId="87" fillId="0" borderId="109" xfId="0" applyFont="1" applyFill="1" applyBorder="1" applyAlignment="1">
      <alignment horizontal="right" vertical="center" readingOrder="2"/>
    </xf>
    <xf numFmtId="0" fontId="87" fillId="0" borderId="113" xfId="0" applyFont="1" applyFill="1" applyBorder="1" applyAlignment="1">
      <alignment horizontal="right" vertical="center" readingOrder="2"/>
    </xf>
    <xf numFmtId="0" fontId="87" fillId="0" borderId="110" xfId="0" applyFont="1" applyFill="1" applyBorder="1" applyAlignment="1" quotePrefix="1">
      <alignment horizontal="right" vertical="center" readingOrder="2"/>
    </xf>
    <xf numFmtId="0" fontId="87" fillId="0" borderId="112" xfId="0" applyFont="1" applyFill="1" applyBorder="1" applyAlignment="1" quotePrefix="1">
      <alignment horizontal="right" vertical="center" readingOrder="2"/>
    </xf>
    <xf numFmtId="0" fontId="87" fillId="0" borderId="0" xfId="0" applyFont="1" applyFill="1" applyBorder="1" applyAlignment="1" quotePrefix="1">
      <alignment horizontal="right" vertical="center" readingOrder="2"/>
    </xf>
    <xf numFmtId="0" fontId="87" fillId="0" borderId="125" xfId="0" applyFont="1" applyFill="1" applyBorder="1" applyAlignment="1" quotePrefix="1">
      <alignment horizontal="right" vertical="center" readingOrder="2"/>
    </xf>
    <xf numFmtId="0" fontId="87" fillId="0" borderId="126" xfId="0" applyFont="1" applyFill="1" applyBorder="1" applyAlignment="1" quotePrefix="1">
      <alignment horizontal="right" vertical="center" readingOrder="2"/>
    </xf>
    <xf numFmtId="0" fontId="87" fillId="0" borderId="127" xfId="0" applyFont="1" applyFill="1" applyBorder="1" applyAlignment="1" quotePrefix="1">
      <alignment horizontal="right" vertical="center" readingOrder="2"/>
    </xf>
    <xf numFmtId="0" fontId="87" fillId="0" borderId="108" xfId="0" applyFont="1" applyFill="1" applyBorder="1" applyAlignment="1">
      <alignment horizontal="right" vertical="center" readingOrder="2"/>
    </xf>
    <xf numFmtId="0" fontId="87" fillId="0" borderId="109" xfId="0" applyFont="1" applyFill="1" applyBorder="1" applyAlignment="1" quotePrefix="1">
      <alignment horizontal="right" readingOrder="2"/>
    </xf>
    <xf numFmtId="0" fontId="87" fillId="0" borderId="113" xfId="0" applyFont="1" applyFill="1" applyBorder="1" applyAlignment="1">
      <alignment horizontal="right" readingOrder="2"/>
    </xf>
    <xf numFmtId="1" fontId="87" fillId="0" borderId="108" xfId="0" applyNumberFormat="1" applyFont="1" applyFill="1" applyBorder="1" applyAlignment="1">
      <alignment horizontal="right" vertical="center" readingOrder="2"/>
    </xf>
    <xf numFmtId="0" fontId="87" fillId="0" borderId="109" xfId="0" applyFont="1" applyFill="1" applyBorder="1" applyAlignment="1">
      <alignment horizontal="right" readingOrder="2"/>
    </xf>
    <xf numFmtId="1" fontId="87" fillId="0" borderId="104" xfId="0" applyNumberFormat="1" applyFont="1" applyFill="1" applyBorder="1" applyAlignment="1" quotePrefix="1">
      <alignment horizontal="right" vertical="center" readingOrder="2"/>
    </xf>
    <xf numFmtId="1" fontId="87" fillId="0" borderId="128" xfId="0" applyNumberFormat="1" applyFont="1" applyFill="1" applyBorder="1" applyAlignment="1" quotePrefix="1">
      <alignment horizontal="right" vertical="center" readingOrder="2"/>
    </xf>
    <xf numFmtId="1" fontId="87" fillId="0" borderId="105" xfId="0" applyNumberFormat="1" applyFont="1" applyFill="1" applyBorder="1" applyAlignment="1" quotePrefix="1">
      <alignment horizontal="right" vertical="center" readingOrder="2"/>
    </xf>
    <xf numFmtId="1" fontId="87" fillId="0" borderId="106" xfId="0" applyNumberFormat="1" applyFont="1" applyFill="1" applyBorder="1" applyAlignment="1" quotePrefix="1">
      <alignment horizontal="right" vertical="center" readingOrder="2"/>
    </xf>
    <xf numFmtId="1" fontId="87" fillId="0" borderId="129" xfId="0" applyNumberFormat="1" applyFont="1" applyFill="1" applyBorder="1" applyAlignment="1" quotePrefix="1">
      <alignment horizontal="right" vertical="center" readingOrder="2"/>
    </xf>
    <xf numFmtId="1" fontId="87" fillId="0" borderId="130" xfId="0" applyNumberFormat="1" applyFont="1" applyFill="1" applyBorder="1" applyAlignment="1" quotePrefix="1">
      <alignment horizontal="right" vertical="center" readingOrder="2"/>
    </xf>
    <xf numFmtId="1" fontId="87" fillId="0" borderId="103" xfId="0" applyNumberFormat="1" applyFont="1" applyFill="1" applyBorder="1" applyAlignment="1" quotePrefix="1">
      <alignment horizontal="right" vertical="center" readingOrder="2"/>
    </xf>
    <xf numFmtId="1" fontId="7" fillId="0" borderId="0" xfId="0" applyNumberFormat="1" applyFont="1" applyFill="1" applyAlignment="1">
      <alignment readingOrder="2"/>
    </xf>
    <xf numFmtId="0" fontId="94" fillId="0" borderId="0" xfId="0" applyFont="1" applyFill="1" applyAlignment="1">
      <alignment/>
    </xf>
    <xf numFmtId="1" fontId="87" fillId="0" borderId="109" xfId="0" applyNumberFormat="1" applyFont="1" applyFill="1" applyBorder="1" applyAlignment="1">
      <alignment horizontal="right" vertical="center" readingOrder="2"/>
    </xf>
    <xf numFmtId="1" fontId="87" fillId="0" borderId="113" xfId="0" applyNumberFormat="1" applyFont="1" applyFill="1" applyBorder="1" applyAlignment="1">
      <alignment horizontal="right" vertical="center" readingOrder="2"/>
    </xf>
    <xf numFmtId="1" fontId="87" fillId="0" borderId="0" xfId="0" applyNumberFormat="1" applyFont="1" applyFill="1" applyBorder="1" applyAlignment="1">
      <alignment horizontal="right" vertical="center" readingOrder="2"/>
    </xf>
    <xf numFmtId="1" fontId="87" fillId="0" borderId="126" xfId="0" applyNumberFormat="1" applyFont="1" applyFill="1" applyBorder="1" applyAlignment="1">
      <alignment horizontal="right" vertical="center" readingOrder="2"/>
    </xf>
    <xf numFmtId="1" fontId="87" fillId="0" borderId="127" xfId="0" applyNumberFormat="1" applyFont="1" applyFill="1" applyBorder="1" applyAlignment="1" quotePrefix="1">
      <alignment horizontal="right" vertical="center" readingOrder="2"/>
    </xf>
    <xf numFmtId="1" fontId="94" fillId="0" borderId="0" xfId="0" applyNumberFormat="1" applyFont="1" applyAlignment="1">
      <alignment/>
    </xf>
    <xf numFmtId="0" fontId="87" fillId="0" borderId="115" xfId="0" applyFont="1" applyFill="1" applyBorder="1" applyAlignment="1" quotePrefix="1">
      <alignment horizontal="right" vertical="center" readingOrder="2"/>
    </xf>
    <xf numFmtId="0" fontId="87" fillId="0" borderId="112" xfId="0" applyFont="1" applyFill="1" applyBorder="1" applyAlignment="1">
      <alignment/>
    </xf>
    <xf numFmtId="0" fontId="87" fillId="0" borderId="0" xfId="0" applyFont="1" applyFill="1" applyAlignment="1">
      <alignment horizontal="right" readingOrder="2"/>
    </xf>
    <xf numFmtId="1" fontId="87" fillId="0" borderId="109" xfId="0" applyNumberFormat="1" applyFont="1" applyFill="1" applyBorder="1" applyAlignment="1" quotePrefix="1">
      <alignment horizontal="right" vertical="center" readingOrder="2"/>
    </xf>
    <xf numFmtId="1" fontId="87" fillId="0" borderId="108" xfId="0" applyNumberFormat="1" applyFont="1" applyFill="1" applyBorder="1" applyAlignment="1" quotePrefix="1">
      <alignment horizontal="right" vertical="center" readingOrder="2"/>
    </xf>
    <xf numFmtId="1" fontId="87" fillId="0" borderId="113" xfId="0" applyNumberFormat="1" applyFont="1" applyFill="1" applyBorder="1" applyAlignment="1" quotePrefix="1">
      <alignment horizontal="right" vertical="center" readingOrder="2"/>
    </xf>
    <xf numFmtId="1" fontId="87" fillId="0" borderId="131" xfId="0" applyNumberFormat="1" applyFont="1" applyFill="1" applyBorder="1" applyAlignment="1">
      <alignment horizontal="right" vertical="center" readingOrder="2"/>
    </xf>
    <xf numFmtId="0" fontId="87" fillId="0" borderId="103" xfId="0" applyFont="1" applyFill="1" applyBorder="1" applyAlignment="1">
      <alignment horizontal="right" vertical="center" readingOrder="2"/>
    </xf>
    <xf numFmtId="1" fontId="87" fillId="0" borderId="112" xfId="0" applyNumberFormat="1" applyFont="1" applyFill="1" applyBorder="1" applyAlignment="1">
      <alignment horizontal="right" vertical="center" readingOrder="2"/>
    </xf>
    <xf numFmtId="0" fontId="87" fillId="0" borderId="110" xfId="0" applyFont="1" applyFill="1" applyBorder="1" applyAlignment="1">
      <alignment horizontal="right" readingOrder="2"/>
    </xf>
    <xf numFmtId="0" fontId="87" fillId="0" borderId="132" xfId="0" applyFont="1" applyFill="1" applyBorder="1" applyAlignment="1" quotePrefix="1">
      <alignment horizontal="right" vertical="center" readingOrder="2"/>
    </xf>
    <xf numFmtId="1" fontId="87" fillId="0" borderId="104" xfId="0" applyNumberFormat="1" applyFont="1" applyFill="1" applyBorder="1" applyAlignment="1">
      <alignment horizontal="right" vertical="center" readingOrder="2"/>
    </xf>
    <xf numFmtId="1" fontId="87" fillId="0" borderId="131" xfId="0" applyNumberFormat="1" applyFont="1" applyFill="1" applyBorder="1" applyAlignment="1" quotePrefix="1">
      <alignment horizontal="right" vertical="center" readingOrder="2"/>
    </xf>
    <xf numFmtId="1" fontId="87" fillId="0" borderId="105" xfId="0" applyNumberFormat="1" applyFont="1" applyFill="1" applyBorder="1" applyAlignment="1">
      <alignment horizontal="right" vertical="center" readingOrder="2"/>
    </xf>
    <xf numFmtId="1" fontId="87" fillId="0" borderId="106" xfId="0" applyNumberFormat="1" applyFont="1" applyFill="1" applyBorder="1" applyAlignment="1">
      <alignment horizontal="right" vertical="center" readingOrder="2"/>
    </xf>
    <xf numFmtId="1" fontId="87" fillId="0" borderId="112" xfId="0" applyNumberFormat="1" applyFont="1" applyFill="1" applyBorder="1" applyAlignment="1" quotePrefix="1">
      <alignment horizontal="right" vertical="center" readingOrder="2"/>
    </xf>
    <xf numFmtId="1" fontId="96" fillId="0" borderId="127" xfId="0" applyNumberFormat="1" applyFont="1" applyFill="1" applyBorder="1" applyAlignment="1" quotePrefix="1">
      <alignment horizontal="right" vertical="center" readingOrder="2"/>
    </xf>
    <xf numFmtId="0" fontId="0" fillId="0" borderId="108" xfId="0" applyFont="1" applyFill="1" applyBorder="1" applyAlignment="1">
      <alignment readingOrder="2"/>
    </xf>
    <xf numFmtId="0" fontId="87" fillId="0" borderId="108" xfId="0" applyFont="1" applyFill="1" applyBorder="1" applyAlignment="1">
      <alignment readingOrder="2"/>
    </xf>
    <xf numFmtId="0" fontId="87" fillId="0" borderId="0" xfId="0" applyFont="1" applyFill="1" applyBorder="1" applyAlignment="1">
      <alignment horizontal="right" readingOrder="2"/>
    </xf>
    <xf numFmtId="0" fontId="87" fillId="0" borderId="125" xfId="0" applyFont="1" applyFill="1" applyBorder="1" applyAlignment="1" quotePrefix="1">
      <alignment horizontal="right" readingOrder="2"/>
    </xf>
    <xf numFmtId="0" fontId="87" fillId="0" borderId="112" xfId="0" applyFont="1" applyFill="1" applyBorder="1" applyAlignment="1" quotePrefix="1">
      <alignment horizontal="right" readingOrder="2"/>
    </xf>
    <xf numFmtId="0" fontId="87" fillId="0" borderId="0" xfId="0" applyFont="1" applyFill="1" applyBorder="1" applyAlignment="1" quotePrefix="1">
      <alignment horizontal="right" readingOrder="2"/>
    </xf>
    <xf numFmtId="0" fontId="87" fillId="0" borderId="112" xfId="0" applyFont="1" applyFill="1" applyBorder="1" applyAlignment="1">
      <alignment horizontal="right" readingOrder="2"/>
    </xf>
    <xf numFmtId="1" fontId="87" fillId="0" borderId="0" xfId="0" applyNumberFormat="1" applyFont="1" applyFill="1" applyBorder="1" applyAlignment="1" quotePrefix="1">
      <alignment horizontal="right" vertical="center" readingOrder="2"/>
    </xf>
    <xf numFmtId="1" fontId="87" fillId="0" borderId="125" xfId="0" applyNumberFormat="1" applyFont="1" applyFill="1" applyBorder="1" applyAlignment="1" quotePrefix="1">
      <alignment horizontal="right" vertical="center" readingOrder="2"/>
    </xf>
    <xf numFmtId="1" fontId="87" fillId="0" borderId="110" xfId="0" applyNumberFormat="1" applyFont="1" applyFill="1" applyBorder="1" applyAlignment="1" quotePrefix="1">
      <alignment horizontal="right" vertical="center" readingOrder="2"/>
    </xf>
    <xf numFmtId="0" fontId="87" fillId="0" borderId="113" xfId="0" applyFont="1" applyFill="1" applyBorder="1" applyAlignment="1" quotePrefix="1">
      <alignment horizontal="right" readingOrder="2"/>
    </xf>
    <xf numFmtId="1" fontId="87" fillId="0" borderId="125" xfId="0" applyNumberFormat="1" applyFont="1" applyFill="1" applyBorder="1" applyAlignment="1">
      <alignment horizontal="right" vertical="center" readingOrder="2"/>
    </xf>
    <xf numFmtId="1" fontId="87" fillId="0" borderId="110" xfId="0" applyNumberFormat="1" applyFont="1" applyFill="1" applyBorder="1" applyAlignment="1">
      <alignment horizontal="right" vertical="center" readingOrder="2"/>
    </xf>
    <xf numFmtId="0" fontId="87" fillId="0" borderId="110" xfId="0" applyFont="1" applyFill="1" applyBorder="1" applyAlignment="1">
      <alignment horizontal="right" vertical="center" readingOrder="2"/>
    </xf>
    <xf numFmtId="0" fontId="87" fillId="0" borderId="104" xfId="0" applyFont="1" applyFill="1" applyBorder="1" applyAlignment="1" quotePrefix="1">
      <alignment horizontal="right" readingOrder="2"/>
    </xf>
    <xf numFmtId="0" fontId="87" fillId="0" borderId="128" xfId="0" applyFont="1" applyFill="1" applyBorder="1" applyAlignment="1" quotePrefix="1">
      <alignment horizontal="right" readingOrder="2"/>
    </xf>
    <xf numFmtId="0" fontId="87" fillId="0" borderId="130" xfId="0" applyFont="1" applyFill="1" applyBorder="1" applyAlignment="1" quotePrefix="1">
      <alignment horizontal="right" readingOrder="2"/>
    </xf>
    <xf numFmtId="0" fontId="87" fillId="0" borderId="118" xfId="0" applyFont="1" applyFill="1" applyBorder="1" applyAlignment="1" quotePrefix="1">
      <alignment horizontal="right" readingOrder="2"/>
    </xf>
    <xf numFmtId="0" fontId="87" fillId="0" borderId="105" xfId="0" applyFont="1" applyFill="1" applyBorder="1" applyAlignment="1" quotePrefix="1">
      <alignment horizontal="right" readingOrder="2"/>
    </xf>
    <xf numFmtId="0" fontId="87" fillId="0" borderId="129" xfId="0" applyFont="1" applyFill="1" applyBorder="1" applyAlignment="1" quotePrefix="1">
      <alignment horizontal="right" readingOrder="2"/>
    </xf>
    <xf numFmtId="0" fontId="87" fillId="0" borderId="106" xfId="0" applyFont="1" applyFill="1" applyBorder="1" applyAlignment="1" quotePrefix="1">
      <alignment horizontal="right" readingOrder="2"/>
    </xf>
    <xf numFmtId="0" fontId="87" fillId="0" borderId="103" xfId="0" applyFont="1" applyFill="1" applyBorder="1" applyAlignment="1" quotePrefix="1">
      <alignment horizontal="right" readingOrder="2"/>
    </xf>
    <xf numFmtId="0" fontId="7" fillId="0" borderId="0" xfId="0" applyFont="1" applyFill="1" applyAlignment="1">
      <alignment readingOrder="2"/>
    </xf>
    <xf numFmtId="1" fontId="87" fillId="0" borderId="128" xfId="0" applyNumberFormat="1" applyFont="1" applyFill="1" applyBorder="1" applyAlignment="1">
      <alignment horizontal="right" vertical="center" readingOrder="2"/>
    </xf>
    <xf numFmtId="1" fontId="87" fillId="0" borderId="129" xfId="0" applyNumberFormat="1" applyFont="1" applyFill="1" applyBorder="1" applyAlignment="1">
      <alignment horizontal="right" vertical="center" readingOrder="2"/>
    </xf>
    <xf numFmtId="1" fontId="87" fillId="0" borderId="130" xfId="0" applyNumberFormat="1" applyFont="1" applyFill="1" applyBorder="1" applyAlignment="1">
      <alignment horizontal="right" vertical="center" readingOrder="2"/>
    </xf>
    <xf numFmtId="1" fontId="87" fillId="0" borderId="103" xfId="0" applyNumberFormat="1" applyFont="1" applyFill="1" applyBorder="1" applyAlignment="1">
      <alignment horizontal="right" vertical="center" readingOrder="2"/>
    </xf>
    <xf numFmtId="0" fontId="95" fillId="0" borderId="0" xfId="0" applyFont="1" applyFill="1" applyBorder="1" applyAlignment="1">
      <alignment horizontal="center" vertical="center"/>
    </xf>
    <xf numFmtId="1" fontId="95" fillId="0" borderId="0" xfId="0" applyNumberFormat="1" applyFont="1" applyFill="1" applyBorder="1" applyAlignment="1">
      <alignment horizontal="center" vertical="center"/>
    </xf>
    <xf numFmtId="1" fontId="94" fillId="0" borderId="0" xfId="0" applyNumberFormat="1" applyFont="1" applyFill="1" applyAlignment="1">
      <alignment readingOrder="2"/>
    </xf>
    <xf numFmtId="0" fontId="95" fillId="0" borderId="0" xfId="0" applyFont="1" applyFill="1" applyAlignment="1">
      <alignment/>
    </xf>
    <xf numFmtId="1" fontId="95" fillId="0" borderId="0" xfId="0" applyNumberFormat="1" applyFont="1" applyFill="1" applyAlignment="1">
      <alignment/>
    </xf>
    <xf numFmtId="0" fontId="95" fillId="0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7" fillId="0" borderId="133" xfId="0" applyFont="1" applyFill="1" applyBorder="1" applyAlignment="1">
      <alignment vertical="center"/>
    </xf>
    <xf numFmtId="173" fontId="91" fillId="0" borderId="134" xfId="0" applyNumberFormat="1" applyFont="1" applyFill="1" applyBorder="1" applyAlignment="1">
      <alignment vertical="center" wrapText="1" readingOrder="2"/>
    </xf>
    <xf numFmtId="1" fontId="91" fillId="0" borderId="126" xfId="0" applyNumberFormat="1" applyFont="1" applyFill="1" applyBorder="1" applyAlignment="1">
      <alignment vertical="center" wrapText="1" readingOrder="2"/>
    </xf>
    <xf numFmtId="1" fontId="91" fillId="0" borderId="135" xfId="0" applyNumberFormat="1" applyFont="1" applyFill="1" applyBorder="1" applyAlignment="1">
      <alignment vertical="center" wrapText="1" readingOrder="2"/>
    </xf>
    <xf numFmtId="1" fontId="91" fillId="0" borderId="135" xfId="0" applyNumberFormat="1" applyFont="1" applyFill="1" applyBorder="1" applyAlignment="1">
      <alignment horizontal="right" vertical="center" wrapText="1" readingOrder="2"/>
    </xf>
    <xf numFmtId="173" fontId="91" fillId="0" borderId="109" xfId="0" applyNumberFormat="1" applyFont="1" applyFill="1" applyBorder="1" applyAlignment="1">
      <alignment horizontal="right" vertical="center" readingOrder="2"/>
    </xf>
    <xf numFmtId="1" fontId="91" fillId="0" borderId="111" xfId="0" applyNumberFormat="1" applyFont="1" applyFill="1" applyBorder="1" applyAlignment="1">
      <alignment horizontal="right" vertical="center" readingOrder="2"/>
    </xf>
    <xf numFmtId="0" fontId="87" fillId="0" borderId="132" xfId="0" applyFont="1" applyFill="1" applyBorder="1" applyAlignment="1">
      <alignment vertical="center"/>
    </xf>
    <xf numFmtId="1" fontId="91" fillId="0" borderId="115" xfId="0" applyNumberFormat="1" applyFont="1" applyFill="1" applyBorder="1" applyAlignment="1">
      <alignment horizontal="right" vertical="center" readingOrder="2"/>
    </xf>
    <xf numFmtId="1" fontId="91" fillId="0" borderId="136" xfId="0" applyNumberFormat="1" applyFont="1" applyFill="1" applyBorder="1" applyAlignment="1">
      <alignment horizontal="right" vertical="center" readingOrder="2"/>
    </xf>
    <xf numFmtId="173" fontId="91" fillId="0" borderId="104" xfId="0" applyNumberFormat="1" applyFont="1" applyFill="1" applyBorder="1" applyAlignment="1">
      <alignment horizontal="right" vertical="center" readingOrder="2"/>
    </xf>
    <xf numFmtId="1" fontId="91" fillId="0" borderId="105" xfId="0" applyNumberFormat="1" applyFont="1" applyFill="1" applyBorder="1" applyAlignment="1">
      <alignment horizontal="right" vertical="center" readingOrder="2"/>
    </xf>
    <xf numFmtId="1" fontId="91" fillId="0" borderId="118" xfId="0" applyNumberFormat="1" applyFont="1" applyFill="1" applyBorder="1" applyAlignment="1">
      <alignment horizontal="right" vertical="center" readingOrder="2"/>
    </xf>
    <xf numFmtId="173" fontId="91" fillId="0" borderId="103" xfId="0" applyNumberFormat="1" applyFont="1" applyFill="1" applyBorder="1" applyAlignment="1">
      <alignment horizontal="right" vertical="center" readingOrder="2"/>
    </xf>
    <xf numFmtId="0" fontId="87" fillId="0" borderId="113" xfId="0" applyFont="1" applyFill="1" applyBorder="1" applyAlignment="1">
      <alignment horizontal="right" vertical="center"/>
    </xf>
    <xf numFmtId="0" fontId="91" fillId="0" borderId="113" xfId="0" applyFont="1" applyFill="1" applyBorder="1" applyAlignment="1">
      <alignment horizontal="right" vertical="center"/>
    </xf>
    <xf numFmtId="172" fontId="91" fillId="0" borderId="105" xfId="0" applyNumberFormat="1" applyFont="1" applyFill="1" applyBorder="1" applyAlignment="1">
      <alignment horizontal="right" vertical="center" readingOrder="2"/>
    </xf>
    <xf numFmtId="172" fontId="91" fillId="0" borderId="134" xfId="0" applyNumberFormat="1" applyFont="1" applyFill="1" applyBorder="1" applyAlignment="1">
      <alignment horizontal="right" vertical="center" readingOrder="2"/>
    </xf>
    <xf numFmtId="172" fontId="91" fillId="0" borderId="126" xfId="0" applyNumberFormat="1" applyFont="1" applyFill="1" applyBorder="1" applyAlignment="1">
      <alignment horizontal="right" vertical="center" readingOrder="2"/>
    </xf>
    <xf numFmtId="1" fontId="91" fillId="0" borderId="126" xfId="0" applyNumberFormat="1" applyFont="1" applyFill="1" applyBorder="1" applyAlignment="1">
      <alignment horizontal="right" vertical="center" readingOrder="2"/>
    </xf>
    <xf numFmtId="172" fontId="91" fillId="0" borderId="135" xfId="0" applyNumberFormat="1" applyFont="1" applyFill="1" applyBorder="1" applyAlignment="1">
      <alignment horizontal="right" vertical="center" readingOrder="2"/>
    </xf>
    <xf numFmtId="172" fontId="91" fillId="0" borderId="109" xfId="0" applyNumberFormat="1" applyFont="1" applyFill="1" applyBorder="1" applyAlignment="1">
      <alignment horizontal="right" vertical="center" readingOrder="2"/>
    </xf>
    <xf numFmtId="172" fontId="91" fillId="0" borderId="111" xfId="0" applyNumberFormat="1" applyFont="1" applyFill="1" applyBorder="1" applyAlignment="1">
      <alignment horizontal="right" vertical="center" readingOrder="2"/>
    </xf>
    <xf numFmtId="172" fontId="91" fillId="0" borderId="114" xfId="0" applyNumberFormat="1" applyFont="1" applyFill="1" applyBorder="1" applyAlignment="1">
      <alignment horizontal="right" vertical="center" readingOrder="2"/>
    </xf>
    <xf numFmtId="172" fontId="91" fillId="0" borderId="115" xfId="0" applyNumberFormat="1" applyFont="1" applyFill="1" applyBorder="1" applyAlignment="1">
      <alignment horizontal="right" vertical="center" readingOrder="2"/>
    </xf>
    <xf numFmtId="172" fontId="91" fillId="0" borderId="136" xfId="0" applyNumberFormat="1" applyFont="1" applyFill="1" applyBorder="1" applyAlignment="1">
      <alignment horizontal="right" vertical="center" readingOrder="2"/>
    </xf>
    <xf numFmtId="1" fontId="91" fillId="0" borderId="105" xfId="0" applyNumberFormat="1" applyFont="1" applyFill="1" applyBorder="1" applyAlignment="1" quotePrefix="1">
      <alignment horizontal="right" vertical="center" readingOrder="2"/>
    </xf>
    <xf numFmtId="1" fontId="91" fillId="0" borderId="103" xfId="0" applyNumberFormat="1" applyFont="1" applyFill="1" applyBorder="1" applyAlignment="1">
      <alignment horizontal="right" vertical="center" readingOrder="2"/>
    </xf>
    <xf numFmtId="173" fontId="91" fillId="0" borderId="134" xfId="0" applyNumberFormat="1" applyFont="1" applyFill="1" applyBorder="1" applyAlignment="1">
      <alignment horizontal="right" vertical="center" readingOrder="2"/>
    </xf>
    <xf numFmtId="1" fontId="91" fillId="0" borderId="135" xfId="0" applyNumberFormat="1" applyFont="1" applyFill="1" applyBorder="1" applyAlignment="1">
      <alignment horizontal="right" vertical="center" readingOrder="2"/>
    </xf>
    <xf numFmtId="2" fontId="91" fillId="0" borderId="109" xfId="0" applyNumberFormat="1" applyFont="1" applyFill="1" applyBorder="1" applyAlignment="1">
      <alignment horizontal="right" vertical="center" readingOrder="2"/>
    </xf>
    <xf numFmtId="1" fontId="91" fillId="0" borderId="111" xfId="0" applyNumberFormat="1" applyFont="1" applyFill="1" applyBorder="1" applyAlignment="1" quotePrefix="1">
      <alignment horizontal="right" vertical="center" readingOrder="2"/>
    </xf>
    <xf numFmtId="1" fontId="91" fillId="0" borderId="128" xfId="0" applyNumberFormat="1" applyFont="1" applyBorder="1" applyAlignment="1">
      <alignment horizontal="right" vertical="center" readingOrder="2"/>
    </xf>
    <xf numFmtId="1" fontId="91" fillId="0" borderId="105" xfId="0" applyNumberFormat="1" applyFont="1" applyBorder="1" applyAlignment="1">
      <alignment horizontal="right" vertical="center" readingOrder="2"/>
    </xf>
    <xf numFmtId="1" fontId="91" fillId="0" borderId="118" xfId="0" applyNumberFormat="1" applyFont="1" applyBorder="1" applyAlignment="1">
      <alignment horizontal="right" vertical="center" readingOrder="2"/>
    </xf>
    <xf numFmtId="1" fontId="91" fillId="0" borderId="118" xfId="0" applyNumberFormat="1" applyFont="1" applyBorder="1" applyAlignment="1" quotePrefix="1">
      <alignment horizontal="right" vertical="center" readingOrder="2"/>
    </xf>
    <xf numFmtId="0" fontId="87" fillId="0" borderId="133" xfId="0" applyFont="1" applyFill="1" applyBorder="1" applyAlignment="1">
      <alignment horizontal="right" vertical="center"/>
    </xf>
    <xf numFmtId="1" fontId="91" fillId="0" borderId="134" xfId="0" applyNumberFormat="1" applyFont="1" applyFill="1" applyBorder="1" applyAlignment="1">
      <alignment horizontal="right" vertical="center" readingOrder="2"/>
    </xf>
    <xf numFmtId="1" fontId="91" fillId="0" borderId="135" xfId="0" applyNumberFormat="1" applyFont="1" applyFill="1" applyBorder="1" applyAlignment="1" quotePrefix="1">
      <alignment horizontal="right" vertical="center" readingOrder="2"/>
    </xf>
    <xf numFmtId="1" fontId="91" fillId="0" borderId="105" xfId="0" applyNumberFormat="1" applyFont="1" applyBorder="1" applyAlignment="1" quotePrefix="1">
      <alignment horizontal="right" vertical="center" readingOrder="2"/>
    </xf>
    <xf numFmtId="1" fontId="91" fillId="0" borderId="137" xfId="0" applyNumberFormat="1" applyFont="1" applyFill="1" applyBorder="1" applyAlignment="1">
      <alignment horizontal="right" vertical="center" readingOrder="2"/>
    </xf>
    <xf numFmtId="1" fontId="91" fillId="0" borderId="125" xfId="0" applyNumberFormat="1" applyFont="1" applyFill="1" applyBorder="1" applyAlignment="1">
      <alignment horizontal="right" vertical="center" readingOrder="2"/>
    </xf>
    <xf numFmtId="1" fontId="91" fillId="0" borderId="104" xfId="0" applyNumberFormat="1" applyFont="1" applyBorder="1" applyAlignment="1">
      <alignment horizontal="right" vertical="center" readingOrder="2"/>
    </xf>
    <xf numFmtId="172" fontId="91" fillId="0" borderId="105" xfId="0" applyNumberFormat="1" applyFont="1" applyBorder="1" applyAlignment="1">
      <alignment horizontal="right" vertical="center" readingOrder="2"/>
    </xf>
    <xf numFmtId="172" fontId="91" fillId="0" borderId="103" xfId="0" applyNumberFormat="1" applyFont="1" applyFill="1" applyBorder="1" applyAlignment="1">
      <alignment horizontal="right" vertical="center" readingOrder="2"/>
    </xf>
    <xf numFmtId="0" fontId="87" fillId="0" borderId="113" xfId="0" applyFont="1" applyFill="1" applyBorder="1" applyAlignment="1">
      <alignment vertical="center"/>
    </xf>
    <xf numFmtId="0" fontId="87" fillId="0" borderId="138" xfId="0" applyFont="1" applyFill="1" applyBorder="1" applyAlignment="1">
      <alignment vertical="center"/>
    </xf>
    <xf numFmtId="1" fontId="91" fillId="0" borderId="104" xfId="0" applyNumberFormat="1" applyFont="1" applyBorder="1" applyAlignment="1" quotePrefix="1">
      <alignment horizontal="right" vertical="center" readingOrder="2"/>
    </xf>
    <xf numFmtId="172" fontId="91" fillId="0" borderId="118" xfId="0" applyNumberFormat="1" applyFont="1" applyBorder="1" applyAlignment="1">
      <alignment horizontal="right" vertical="center" readingOrder="2"/>
    </xf>
    <xf numFmtId="173" fontId="91" fillId="0" borderId="114" xfId="0" applyNumberFormat="1" applyFont="1" applyFill="1" applyBorder="1" applyAlignment="1">
      <alignment horizontal="right" vertical="center" readingOrder="2"/>
    </xf>
    <xf numFmtId="1" fontId="91" fillId="0" borderId="136" xfId="0" applyNumberFormat="1" applyFont="1" applyFill="1" applyBorder="1" applyAlignment="1" quotePrefix="1">
      <alignment horizontal="right" vertical="center" readingOrder="2"/>
    </xf>
    <xf numFmtId="173" fontId="91" fillId="0" borderId="116" xfId="0" applyNumberFormat="1" applyFont="1" applyFill="1" applyBorder="1" applyAlignment="1">
      <alignment horizontal="right" vertical="center" readingOrder="2"/>
    </xf>
    <xf numFmtId="0" fontId="88" fillId="0" borderId="139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1" fontId="92" fillId="0" borderId="111" xfId="0" applyNumberFormat="1" applyFont="1" applyFill="1" applyBorder="1" applyAlignment="1">
      <alignment horizontal="right" vertical="center" readingOrder="2"/>
    </xf>
    <xf numFmtId="1" fontId="92" fillId="0" borderId="105" xfId="0" applyNumberFormat="1" applyFont="1" applyFill="1" applyBorder="1" applyAlignment="1" applyProtection="1">
      <alignment horizontal="right" vertical="center" readingOrder="2"/>
      <protection/>
    </xf>
    <xf numFmtId="1" fontId="92" fillId="0" borderId="118" xfId="0" applyNumberFormat="1" applyFont="1" applyFill="1" applyBorder="1" applyAlignment="1" applyProtection="1">
      <alignment horizontal="right" vertical="center" readingOrder="2"/>
      <protection/>
    </xf>
    <xf numFmtId="0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4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2" fillId="0" borderId="130" xfId="0" applyFont="1" applyFill="1" applyBorder="1" applyAlignment="1">
      <alignment horizontal="center" vertical="center"/>
    </xf>
    <xf numFmtId="0" fontId="92" fillId="0" borderId="105" xfId="0" applyNumberFormat="1" applyFont="1" applyFill="1" applyBorder="1" applyAlignment="1">
      <alignment horizontal="center" vertical="center" wrapText="1"/>
    </xf>
    <xf numFmtId="0" fontId="92" fillId="0" borderId="118" xfId="0" applyNumberFormat="1" applyFont="1" applyFill="1" applyBorder="1" applyAlignment="1">
      <alignment horizontal="center" vertical="center" wrapText="1"/>
    </xf>
    <xf numFmtId="0" fontId="92" fillId="0" borderId="118" xfId="0" applyFont="1" applyFill="1" applyBorder="1" applyAlignment="1">
      <alignment horizontal="center" vertical="center" wrapText="1"/>
    </xf>
    <xf numFmtId="0" fontId="92" fillId="0" borderId="103" xfId="0" applyFont="1" applyFill="1" applyBorder="1" applyAlignment="1">
      <alignment horizontal="center" vertical="center"/>
    </xf>
    <xf numFmtId="0" fontId="92" fillId="0" borderId="108" xfId="0" applyFont="1" applyFill="1" applyBorder="1" applyAlignment="1">
      <alignment horizontal="right" vertical="center" indent="1"/>
    </xf>
    <xf numFmtId="0" fontId="92" fillId="0" borderId="110" xfId="0" applyFont="1" applyBorder="1" applyAlignment="1" quotePrefix="1">
      <alignment horizontal="right" vertical="center" readingOrder="2"/>
    </xf>
    <xf numFmtId="1" fontId="92" fillId="0" borderId="108" xfId="0" applyNumberFormat="1" applyFont="1" applyFill="1" applyBorder="1" applyAlignment="1">
      <alignment horizontal="right" vertical="center" readingOrder="2"/>
    </xf>
    <xf numFmtId="0" fontId="92" fillId="0" borderId="108" xfId="0" applyFont="1" applyBorder="1" applyAlignment="1">
      <alignment horizontal="right" vertical="center" indent="1"/>
    </xf>
    <xf numFmtId="0" fontId="92" fillId="0" borderId="111" xfId="0" applyFont="1" applyFill="1" applyBorder="1" applyAlignment="1">
      <alignment horizontal="right" vertical="top" readingOrder="2"/>
    </xf>
    <xf numFmtId="0" fontId="92" fillId="0" borderId="111" xfId="0" applyFont="1" applyFill="1" applyBorder="1" applyAlignment="1">
      <alignment horizontal="right" vertical="center" readingOrder="2"/>
    </xf>
    <xf numFmtId="1" fontId="7" fillId="0" borderId="0" xfId="0" applyNumberFormat="1" applyFont="1" applyFill="1" applyAlignment="1">
      <alignment vertical="center"/>
    </xf>
    <xf numFmtId="0" fontId="92" fillId="0" borderId="108" xfId="0" applyFont="1" applyFill="1" applyBorder="1" applyAlignment="1">
      <alignment horizontal="right" vertical="center" readingOrder="2"/>
    </xf>
    <xf numFmtId="0" fontId="92" fillId="0" borderId="127" xfId="0" applyFont="1" applyBorder="1" applyAlignment="1">
      <alignment horizontal="right" vertical="center" readingOrder="2"/>
    </xf>
    <xf numFmtId="0" fontId="92" fillId="0" borderId="116" xfId="0" applyFont="1" applyFill="1" applyBorder="1" applyAlignment="1">
      <alignment horizontal="right" vertical="center" indent="1"/>
    </xf>
    <xf numFmtId="1" fontId="92" fillId="0" borderId="115" xfId="0" applyNumberFormat="1" applyFont="1" applyFill="1" applyBorder="1" applyAlignment="1">
      <alignment horizontal="right" vertical="center" readingOrder="2"/>
    </xf>
    <xf numFmtId="1" fontId="92" fillId="0" borderId="110" xfId="0" applyNumberFormat="1" applyFont="1" applyFill="1" applyBorder="1" applyAlignment="1" quotePrefix="1">
      <alignment horizontal="right" vertical="center" readingOrder="2"/>
    </xf>
    <xf numFmtId="0" fontId="92" fillId="0" borderId="136" xfId="0" applyFont="1" applyFill="1" applyBorder="1" applyAlignment="1">
      <alignment horizontal="right" vertical="center" readingOrder="2"/>
    </xf>
    <xf numFmtId="0" fontId="92" fillId="0" borderId="130" xfId="0" applyFont="1" applyFill="1" applyBorder="1" applyAlignment="1" applyProtection="1">
      <alignment horizontal="center" vertical="center"/>
      <protection/>
    </xf>
    <xf numFmtId="1" fontId="92" fillId="0" borderId="103" xfId="0" applyNumberFormat="1" applyFont="1" applyFill="1" applyBorder="1" applyAlignment="1" applyProtection="1">
      <alignment horizontal="right" vertical="center" readingOrder="2"/>
      <protection/>
    </xf>
    <xf numFmtId="1" fontId="7" fillId="0" borderId="0" xfId="0" applyNumberFormat="1" applyFont="1" applyFill="1" applyAlignment="1">
      <alignment/>
    </xf>
    <xf numFmtId="0" fontId="0" fillId="0" borderId="0" xfId="59" applyFont="1">
      <alignment/>
      <protection/>
    </xf>
    <xf numFmtId="0" fontId="7" fillId="0" borderId="0" xfId="59" applyFont="1" applyAlignment="1">
      <alignment vertical="center"/>
      <protection/>
    </xf>
    <xf numFmtId="0" fontId="0" fillId="0" borderId="0" xfId="59" applyFont="1" applyBorder="1">
      <alignment/>
      <protection/>
    </xf>
    <xf numFmtId="0" fontId="4" fillId="0" borderId="0" xfId="59" applyFont="1" applyAlignment="1">
      <alignment vertical="center"/>
      <protection/>
    </xf>
    <xf numFmtId="0" fontId="98" fillId="0" borderId="0" xfId="59" applyFont="1">
      <alignment/>
      <protection/>
    </xf>
    <xf numFmtId="0" fontId="98" fillId="0" borderId="140" xfId="59" applyFont="1" applyBorder="1" applyAlignment="1">
      <alignment vertical="center"/>
      <protection/>
    </xf>
    <xf numFmtId="0" fontId="97" fillId="0" borderId="140" xfId="59" applyFont="1" applyBorder="1" applyAlignment="1">
      <alignment vertical="center"/>
      <protection/>
    </xf>
    <xf numFmtId="0" fontId="97" fillId="0" borderId="0" xfId="59" applyFont="1">
      <alignment/>
      <protection/>
    </xf>
    <xf numFmtId="0" fontId="7" fillId="0" borderId="124" xfId="59" applyFont="1" applyBorder="1" applyAlignment="1">
      <alignment horizontal="center" vertical="center"/>
      <protection/>
    </xf>
    <xf numFmtId="0" fontId="7" fillId="0" borderId="121" xfId="59" applyFont="1" applyBorder="1" applyAlignment="1">
      <alignment horizontal="center" vertical="center"/>
      <protection/>
    </xf>
    <xf numFmtId="0" fontId="7" fillId="0" borderId="141" xfId="59" applyFont="1" applyBorder="1" applyAlignment="1">
      <alignment horizontal="center" vertical="center"/>
      <protection/>
    </xf>
    <xf numFmtId="0" fontId="7" fillId="0" borderId="107" xfId="59" applyFont="1" applyBorder="1" applyAlignment="1">
      <alignment horizontal="right" vertical="center" indent="1"/>
      <protection/>
    </xf>
    <xf numFmtId="2" fontId="7" fillId="0" borderId="142" xfId="59" applyNumberFormat="1" applyFont="1" applyBorder="1" applyAlignment="1">
      <alignment horizontal="right" vertical="center" indent="1" readingOrder="2"/>
      <protection/>
    </xf>
    <xf numFmtId="1" fontId="7" fillId="0" borderId="126" xfId="59" applyNumberFormat="1" applyFont="1" applyBorder="1" applyAlignment="1">
      <alignment horizontal="right" vertical="center" indent="1" readingOrder="2"/>
      <protection/>
    </xf>
    <xf numFmtId="2" fontId="7" fillId="0" borderId="126" xfId="59" applyNumberFormat="1" applyFont="1" applyBorder="1" applyAlignment="1">
      <alignment horizontal="right" vertical="center" indent="1" readingOrder="2"/>
      <protection/>
    </xf>
    <xf numFmtId="1" fontId="7" fillId="0" borderId="135" xfId="59" applyNumberFormat="1" applyFont="1" applyBorder="1" applyAlignment="1" quotePrefix="1">
      <alignment horizontal="right" vertical="center" indent="1" readingOrder="2"/>
      <protection/>
    </xf>
    <xf numFmtId="2" fontId="7" fillId="0" borderId="107" xfId="59" applyNumberFormat="1" applyFont="1" applyBorder="1" applyAlignment="1">
      <alignment horizontal="right" vertical="center" readingOrder="2"/>
      <protection/>
    </xf>
    <xf numFmtId="0" fontId="0" fillId="0" borderId="0" xfId="59" applyFont="1" applyAlignment="1">
      <alignment vertical="center"/>
      <protection/>
    </xf>
    <xf numFmtId="1" fontId="0" fillId="0" borderId="0" xfId="59" applyNumberFormat="1" applyFont="1" applyAlignment="1">
      <alignment vertical="center"/>
      <protection/>
    </xf>
    <xf numFmtId="0" fontId="7" fillId="0" borderId="108" xfId="59" applyFont="1" applyBorder="1" applyAlignment="1">
      <alignment horizontal="right" vertical="center" indent="1"/>
      <protection/>
    </xf>
    <xf numFmtId="173" fontId="7" fillId="0" borderId="127" xfId="59" applyNumberFormat="1" applyFont="1" applyBorder="1" applyAlignment="1">
      <alignment horizontal="right" vertical="center" indent="1" readingOrder="2"/>
      <protection/>
    </xf>
    <xf numFmtId="1" fontId="7" fillId="0" borderId="110" xfId="59" applyNumberFormat="1" applyFont="1" applyBorder="1" applyAlignment="1" quotePrefix="1">
      <alignment horizontal="right" vertical="center" indent="1" readingOrder="2"/>
      <protection/>
    </xf>
    <xf numFmtId="2" fontId="7" fillId="0" borderId="110" xfId="59" applyNumberFormat="1" applyFont="1" applyBorder="1" applyAlignment="1">
      <alignment horizontal="right" vertical="center" indent="1" readingOrder="2"/>
      <protection/>
    </xf>
    <xf numFmtId="2" fontId="7" fillId="0" borderId="110" xfId="59" applyNumberFormat="1" applyFont="1" applyBorder="1" applyAlignment="1" quotePrefix="1">
      <alignment horizontal="right" vertical="center" indent="1" readingOrder="2"/>
      <protection/>
    </xf>
    <xf numFmtId="2" fontId="7" fillId="0" borderId="111" xfId="59" applyNumberFormat="1" applyFont="1" applyBorder="1" applyAlignment="1" quotePrefix="1">
      <alignment horizontal="right" vertical="center" indent="1" readingOrder="2"/>
      <protection/>
    </xf>
    <xf numFmtId="173" fontId="7" fillId="0" borderId="108" xfId="59" applyNumberFormat="1" applyFont="1" applyBorder="1" applyAlignment="1">
      <alignment horizontal="right" vertical="center" readingOrder="2"/>
      <protection/>
    </xf>
    <xf numFmtId="173" fontId="0" fillId="0" borderId="0" xfId="59" applyNumberFormat="1" applyFont="1" applyAlignment="1">
      <alignment vertical="center"/>
      <protection/>
    </xf>
    <xf numFmtId="2" fontId="7" fillId="0" borderId="127" xfId="59" applyNumberFormat="1" applyFont="1" applyBorder="1" applyAlignment="1">
      <alignment horizontal="right" vertical="center" indent="1" readingOrder="2"/>
      <protection/>
    </xf>
    <xf numFmtId="1" fontId="7" fillId="0" borderId="108" xfId="59" applyNumberFormat="1" applyFont="1" applyBorder="1" applyAlignment="1" quotePrefix="1">
      <alignment horizontal="right" vertical="center" readingOrder="2"/>
      <protection/>
    </xf>
    <xf numFmtId="173" fontId="7" fillId="0" borderId="127" xfId="59" applyNumberFormat="1" applyFont="1" applyBorder="1" applyAlignment="1" quotePrefix="1">
      <alignment horizontal="right" vertical="center" indent="1" readingOrder="2"/>
      <protection/>
    </xf>
    <xf numFmtId="1" fontId="7" fillId="0" borderId="110" xfId="59" applyNumberFormat="1" applyFont="1" applyBorder="1" applyAlignment="1">
      <alignment horizontal="right" vertical="center" indent="1" readingOrder="2"/>
      <protection/>
    </xf>
    <xf numFmtId="173" fontId="7" fillId="0" borderId="108" xfId="59" applyNumberFormat="1" applyFont="1" applyBorder="1" applyAlignment="1" quotePrefix="1">
      <alignment horizontal="right" vertical="center" readingOrder="2"/>
      <protection/>
    </xf>
    <xf numFmtId="174" fontId="0" fillId="0" borderId="0" xfId="59" applyNumberFormat="1" applyFont="1" applyAlignment="1">
      <alignment vertical="center"/>
      <protection/>
    </xf>
    <xf numFmtId="2" fontId="0" fillId="0" borderId="0" xfId="59" applyNumberFormat="1" applyFont="1" applyAlignment="1">
      <alignment vertical="center"/>
      <protection/>
    </xf>
    <xf numFmtId="172" fontId="7" fillId="0" borderId="110" xfId="59" applyNumberFormat="1" applyFont="1" applyBorder="1" applyAlignment="1">
      <alignment horizontal="right" vertical="center" indent="1" readingOrder="2"/>
      <protection/>
    </xf>
    <xf numFmtId="1" fontId="7" fillId="0" borderId="127" xfId="59" applyNumberFormat="1" applyFont="1" applyBorder="1" applyAlignment="1">
      <alignment horizontal="right" vertical="center" indent="1" readingOrder="2"/>
      <protection/>
    </xf>
    <xf numFmtId="1" fontId="7" fillId="0" borderId="108" xfId="59" applyNumberFormat="1" applyFont="1" applyBorder="1" applyAlignment="1">
      <alignment horizontal="right" vertical="center" readingOrder="2"/>
      <protection/>
    </xf>
    <xf numFmtId="1" fontId="7" fillId="0" borderId="111" xfId="59" applyNumberFormat="1" applyFont="1" applyBorder="1" applyAlignment="1" quotePrefix="1">
      <alignment horizontal="right" vertical="center" indent="1" readingOrder="2"/>
      <protection/>
    </xf>
    <xf numFmtId="0" fontId="7" fillId="0" borderId="108" xfId="59" applyFont="1" applyBorder="1" applyAlignment="1">
      <alignment horizontal="right" vertical="center" indent="1" readingOrder="1"/>
      <protection/>
    </xf>
    <xf numFmtId="172" fontId="7" fillId="0" borderId="110" xfId="59" applyNumberFormat="1" applyFont="1" applyBorder="1" applyAlignment="1" quotePrefix="1">
      <alignment horizontal="right" vertical="center" indent="1" readingOrder="2"/>
      <protection/>
    </xf>
    <xf numFmtId="0" fontId="7" fillId="0" borderId="116" xfId="59" applyFont="1" applyBorder="1" applyAlignment="1">
      <alignment horizontal="right" vertical="center" indent="1"/>
      <protection/>
    </xf>
    <xf numFmtId="2" fontId="7" fillId="0" borderId="143" xfId="59" applyNumberFormat="1" applyFont="1" applyBorder="1" applyAlignment="1">
      <alignment horizontal="right" vertical="center" indent="1" readingOrder="2"/>
      <protection/>
    </xf>
    <xf numFmtId="1" fontId="7" fillId="0" borderId="115" xfId="59" applyNumberFormat="1" applyFont="1" applyBorder="1" applyAlignment="1">
      <alignment horizontal="right" vertical="center" indent="1" readingOrder="2"/>
      <protection/>
    </xf>
    <xf numFmtId="2" fontId="7" fillId="0" borderId="115" xfId="59" applyNumberFormat="1" applyFont="1" applyBorder="1" applyAlignment="1">
      <alignment horizontal="right" vertical="center" indent="1" readingOrder="2"/>
      <protection/>
    </xf>
    <xf numFmtId="172" fontId="7" fillId="0" borderId="115" xfId="59" applyNumberFormat="1" applyFont="1" applyBorder="1" applyAlignment="1">
      <alignment horizontal="right" vertical="center" indent="1" readingOrder="2"/>
      <protection/>
    </xf>
    <xf numFmtId="172" fontId="7" fillId="0" borderId="116" xfId="59" applyNumberFormat="1" applyFont="1" applyBorder="1" applyAlignment="1">
      <alignment horizontal="right" vertical="center" readingOrder="2"/>
      <protection/>
    </xf>
    <xf numFmtId="0" fontId="7" fillId="0" borderId="116" xfId="59" applyFont="1" applyFill="1" applyBorder="1" applyAlignment="1">
      <alignment horizontal="center" vertical="center"/>
      <protection/>
    </xf>
    <xf numFmtId="173" fontId="7" fillId="0" borderId="143" xfId="59" applyNumberFormat="1" applyFont="1" applyFill="1" applyBorder="1" applyAlignment="1">
      <alignment horizontal="right" vertical="center" indent="1" readingOrder="2"/>
      <protection/>
    </xf>
    <xf numFmtId="1" fontId="7" fillId="0" borderId="115" xfId="59" applyNumberFormat="1" applyFont="1" applyFill="1" applyBorder="1" applyAlignment="1">
      <alignment horizontal="right" vertical="center" indent="1" readingOrder="2"/>
      <protection/>
    </xf>
    <xf numFmtId="172" fontId="7" fillId="0" borderId="115" xfId="59" applyNumberFormat="1" applyFont="1" applyFill="1" applyBorder="1" applyAlignment="1">
      <alignment horizontal="right" vertical="center" indent="1" readingOrder="2"/>
      <protection/>
    </xf>
    <xf numFmtId="1" fontId="7" fillId="0" borderId="136" xfId="59" applyNumberFormat="1" applyFont="1" applyFill="1" applyBorder="1" applyAlignment="1" quotePrefix="1">
      <alignment horizontal="right" vertical="center" indent="1" readingOrder="2"/>
      <protection/>
    </xf>
    <xf numFmtId="173" fontId="7" fillId="0" borderId="116" xfId="59" applyNumberFormat="1" applyFont="1" applyFill="1" applyBorder="1" applyAlignment="1">
      <alignment horizontal="right" vertical="center" readingOrder="2"/>
      <protection/>
    </xf>
    <xf numFmtId="173" fontId="0" fillId="0" borderId="0" xfId="59" applyNumberFormat="1" applyFont="1" applyFill="1" applyAlignment="1">
      <alignment vertical="center"/>
      <protection/>
    </xf>
    <xf numFmtId="0" fontId="7" fillId="0" borderId="0" xfId="59" applyFont="1" applyFill="1" applyBorder="1" applyAlignment="1">
      <alignment horizontal="right" vertical="center" readingOrder="2"/>
      <protection/>
    </xf>
    <xf numFmtId="172" fontId="4" fillId="0" borderId="0" xfId="59" applyNumberFormat="1" applyFont="1" applyFill="1" applyBorder="1" applyAlignment="1">
      <alignment horizontal="right" vertical="center"/>
      <protection/>
    </xf>
    <xf numFmtId="1" fontId="4" fillId="0" borderId="0" xfId="59" applyNumberFormat="1" applyFont="1" applyFill="1" applyBorder="1" applyAlignment="1">
      <alignment horizontal="right" vertical="center"/>
      <protection/>
    </xf>
    <xf numFmtId="173" fontId="0" fillId="0" borderId="0" xfId="59" applyNumberFormat="1" applyFont="1" applyFill="1" applyBorder="1" applyAlignment="1">
      <alignment horizontal="right" vertical="center"/>
      <protection/>
    </xf>
    <xf numFmtId="0" fontId="0" fillId="0" borderId="0" xfId="59" applyFont="1" applyFill="1" applyAlignment="1">
      <alignment vertical="center"/>
      <protection/>
    </xf>
    <xf numFmtId="0" fontId="7" fillId="0" borderId="0" xfId="59" applyFont="1">
      <alignment/>
      <protection/>
    </xf>
    <xf numFmtId="173" fontId="0" fillId="0" borderId="0" xfId="59" applyNumberFormat="1" applyFont="1">
      <alignment/>
      <protection/>
    </xf>
    <xf numFmtId="0" fontId="23" fillId="0" borderId="0" xfId="0" applyFont="1" applyAlignment="1">
      <alignment horizontal="center" vertical="center"/>
    </xf>
    <xf numFmtId="0" fontId="48" fillId="0" borderId="13" xfId="0" applyFont="1" applyBorder="1" applyAlignment="1">
      <alignment vertical="center"/>
    </xf>
    <xf numFmtId="172" fontId="29" fillId="0" borderId="91" xfId="0" applyNumberFormat="1" applyFont="1" applyBorder="1" applyAlignment="1">
      <alignment horizontal="right" vertical="center"/>
    </xf>
    <xf numFmtId="172" fontId="29" fillId="0" borderId="144" xfId="0" applyNumberFormat="1" applyFont="1" applyBorder="1" applyAlignment="1">
      <alignment horizontal="right" vertical="center"/>
    </xf>
    <xf numFmtId="172" fontId="33" fillId="0" borderId="145" xfId="0" applyNumberFormat="1" applyFont="1" applyBorder="1" applyAlignment="1">
      <alignment horizontal="right" vertical="center"/>
    </xf>
    <xf numFmtId="172" fontId="33" fillId="0" borderId="82" xfId="0" applyNumberFormat="1" applyFont="1" applyBorder="1" applyAlignment="1">
      <alignment horizontal="right" vertical="center"/>
    </xf>
    <xf numFmtId="172" fontId="33" fillId="0" borderId="86" xfId="0" applyNumberFormat="1" applyFont="1" applyBorder="1" applyAlignment="1">
      <alignment horizontal="right" vertical="center"/>
    </xf>
    <xf numFmtId="172" fontId="36" fillId="0" borderId="91" xfId="0" applyNumberFormat="1" applyFont="1" applyBorder="1" applyAlignment="1">
      <alignment horizontal="right" vertical="center"/>
    </xf>
    <xf numFmtId="172" fontId="36" fillId="0" borderId="144" xfId="0" applyNumberFormat="1" applyFont="1" applyBorder="1" applyAlignment="1">
      <alignment horizontal="right" vertical="center"/>
    </xf>
    <xf numFmtId="172" fontId="39" fillId="0" borderId="145" xfId="0" applyNumberFormat="1" applyFont="1" applyBorder="1" applyAlignment="1">
      <alignment horizontal="right" vertical="center"/>
    </xf>
    <xf numFmtId="172" fontId="39" fillId="0" borderId="82" xfId="0" applyNumberFormat="1" applyFont="1" applyBorder="1" applyAlignment="1">
      <alignment horizontal="right" vertical="center"/>
    </xf>
    <xf numFmtId="172" fontId="39" fillId="0" borderId="86" xfId="0" applyNumberFormat="1" applyFont="1" applyBorder="1" applyAlignment="1">
      <alignment horizontal="right" vertical="center"/>
    </xf>
    <xf numFmtId="172" fontId="43" fillId="0" borderId="85" xfId="0" applyNumberFormat="1" applyFont="1" applyBorder="1" applyAlignment="1">
      <alignment horizontal="right" vertical="center"/>
    </xf>
    <xf numFmtId="172" fontId="46" fillId="0" borderId="145" xfId="0" applyNumberFormat="1" applyFont="1" applyBorder="1" applyAlignment="1">
      <alignment horizontal="right" vertical="center"/>
    </xf>
    <xf numFmtId="172" fontId="20" fillId="0" borderId="82" xfId="0" applyNumberFormat="1" applyFont="1" applyBorder="1" applyAlignment="1">
      <alignment horizontal="right" vertical="center"/>
    </xf>
    <xf numFmtId="172" fontId="20" fillId="0" borderId="86" xfId="0" applyNumberFormat="1" applyFont="1" applyBorder="1" applyAlignment="1">
      <alignment horizontal="right" vertical="center"/>
    </xf>
    <xf numFmtId="1" fontId="20" fillId="33" borderId="85" xfId="0" applyNumberFormat="1" applyFont="1" applyFill="1" applyBorder="1" applyAlignment="1">
      <alignment horizontal="right" vertical="center"/>
    </xf>
    <xf numFmtId="0" fontId="48" fillId="0" borderId="23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172" fontId="29" fillId="0" borderId="24" xfId="0" applyNumberFormat="1" applyFont="1" applyBorder="1" applyAlignment="1">
      <alignment horizontal="right" vertical="center"/>
    </xf>
    <xf numFmtId="172" fontId="29" fillId="0" borderId="99" xfId="0" applyNumberFormat="1" applyFont="1" applyBorder="1" applyAlignment="1">
      <alignment horizontal="right" vertical="center"/>
    </xf>
    <xf numFmtId="172" fontId="33" fillId="0" borderId="96" xfId="0" applyNumberFormat="1" applyFont="1" applyBorder="1" applyAlignment="1">
      <alignment horizontal="right" vertical="center"/>
    </xf>
    <xf numFmtId="172" fontId="33" fillId="0" borderId="31" xfId="0" applyNumberFormat="1" applyFont="1" applyBorder="1" applyAlignment="1">
      <alignment horizontal="right" vertical="center"/>
    </xf>
    <xf numFmtId="172" fontId="33" fillId="0" borderId="26" xfId="0" applyNumberFormat="1" applyFont="1" applyBorder="1" applyAlignment="1">
      <alignment horizontal="right" vertical="center"/>
    </xf>
    <xf numFmtId="172" fontId="36" fillId="0" borderId="24" xfId="0" applyNumberFormat="1" applyFont="1" applyBorder="1" applyAlignment="1">
      <alignment horizontal="right" vertical="center"/>
    </xf>
    <xf numFmtId="172" fontId="36" fillId="0" borderId="99" xfId="0" applyNumberFormat="1" applyFont="1" applyBorder="1" applyAlignment="1">
      <alignment horizontal="right" vertical="center"/>
    </xf>
    <xf numFmtId="172" fontId="39" fillId="0" borderId="96" xfId="0" applyNumberFormat="1" applyFont="1" applyBorder="1" applyAlignment="1">
      <alignment horizontal="right" vertical="center"/>
    </xf>
    <xf numFmtId="172" fontId="39" fillId="0" borderId="31" xfId="0" applyNumberFormat="1" applyFont="1" applyBorder="1" applyAlignment="1">
      <alignment horizontal="right" vertical="center"/>
    </xf>
    <xf numFmtId="172" fontId="39" fillId="0" borderId="26" xfId="0" applyNumberFormat="1" applyFont="1" applyBorder="1" applyAlignment="1">
      <alignment horizontal="right" vertical="center"/>
    </xf>
    <xf numFmtId="172" fontId="43" fillId="0" borderId="33" xfId="0" applyNumberFormat="1" applyFont="1" applyBorder="1" applyAlignment="1">
      <alignment horizontal="right" vertical="center"/>
    </xf>
    <xf numFmtId="172" fontId="46" fillId="0" borderId="96" xfId="0" applyNumberFormat="1" applyFont="1" applyBorder="1" applyAlignment="1">
      <alignment horizontal="right" vertical="center"/>
    </xf>
    <xf numFmtId="172" fontId="20" fillId="0" borderId="31" xfId="0" applyNumberFormat="1" applyFont="1" applyBorder="1" applyAlignment="1">
      <alignment horizontal="right" vertical="center"/>
    </xf>
    <xf numFmtId="1" fontId="157" fillId="0" borderId="115" xfId="0" applyNumberFormat="1" applyFont="1" applyFill="1" applyBorder="1" applyAlignment="1">
      <alignment horizontal="right" vertical="center" readingOrder="2"/>
    </xf>
    <xf numFmtId="172" fontId="157" fillId="0" borderId="115" xfId="0" applyNumberFormat="1" applyFont="1" applyFill="1" applyBorder="1" applyAlignment="1">
      <alignment horizontal="right" vertical="center" readingOrder="2"/>
    </xf>
    <xf numFmtId="0" fontId="11" fillId="0" borderId="0" xfId="0" applyFont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4" fillId="0" borderId="7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" fontId="17" fillId="0" borderId="77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7" fillId="0" borderId="146" xfId="0" applyFont="1" applyBorder="1" applyAlignment="1">
      <alignment horizontal="center" vertical="center"/>
    </xf>
    <xf numFmtId="1" fontId="17" fillId="0" borderId="147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7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1" fontId="17" fillId="0" borderId="79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8" fillId="0" borderId="0" xfId="0" applyFont="1" applyAlignment="1" applyProtection="1">
      <alignment vertical="center"/>
      <protection/>
    </xf>
    <xf numFmtId="2" fontId="158" fillId="0" borderId="0" xfId="0" applyNumberFormat="1" applyFont="1" applyAlignment="1">
      <alignment vertical="center"/>
    </xf>
    <xf numFmtId="10" fontId="158" fillId="0" borderId="0" xfId="0" applyNumberFormat="1" applyFont="1" applyAlignment="1" applyProtection="1">
      <alignment vertical="center"/>
      <protection/>
    </xf>
    <xf numFmtId="0" fontId="158" fillId="0" borderId="0" xfId="0" applyFont="1" applyAlignment="1" applyProtection="1">
      <alignment horizontal="center" vertical="center"/>
      <protection/>
    </xf>
    <xf numFmtId="2" fontId="158" fillId="0" borderId="0" xfId="0" applyNumberFormat="1" applyFont="1" applyAlignment="1" applyProtection="1">
      <alignment vertical="center"/>
      <protection/>
    </xf>
    <xf numFmtId="0" fontId="158" fillId="0" borderId="0" xfId="0" applyFont="1" applyAlignment="1">
      <alignment vertical="center"/>
    </xf>
    <xf numFmtId="1" fontId="18" fillId="0" borderId="12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1" fontId="92" fillId="0" borderId="105" xfId="0" applyNumberFormat="1" applyFont="1" applyFill="1" applyBorder="1" applyAlignment="1">
      <alignment readingOrder="2"/>
    </xf>
    <xf numFmtId="0" fontId="0" fillId="0" borderId="0" xfId="59" applyFont="1" applyAlignment="1">
      <alignment/>
      <protection/>
    </xf>
    <xf numFmtId="0" fontId="95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1" fontId="91" fillId="0" borderId="126" xfId="0" applyNumberFormat="1" applyFont="1" applyFill="1" applyBorder="1" applyAlignment="1">
      <alignment horizontal="right" vertical="center" wrapText="1" readingOrder="2"/>
    </xf>
    <xf numFmtId="1" fontId="43" fillId="0" borderId="60" xfId="0" applyNumberFormat="1" applyFont="1" applyFill="1" applyBorder="1" applyAlignment="1">
      <alignment vertical="center"/>
    </xf>
    <xf numFmtId="1" fontId="67" fillId="0" borderId="39" xfId="0" applyNumberFormat="1" applyFont="1" applyFill="1" applyBorder="1" applyAlignment="1">
      <alignment horizontal="right" vertical="center"/>
    </xf>
    <xf numFmtId="1" fontId="43" fillId="0" borderId="40" xfId="0" applyNumberFormat="1" applyFont="1" applyFill="1" applyBorder="1" applyAlignment="1">
      <alignment vertical="center"/>
    </xf>
    <xf numFmtId="173" fontId="0" fillId="0" borderId="0" xfId="0" applyNumberFormat="1" applyAlignment="1">
      <alignment/>
    </xf>
    <xf numFmtId="1" fontId="11" fillId="33" borderId="70" xfId="0" applyNumberFormat="1" applyFont="1" applyFill="1" applyBorder="1" applyAlignment="1">
      <alignment horizontal="right" vertical="center"/>
    </xf>
    <xf numFmtId="1" fontId="58" fillId="0" borderId="92" xfId="0" applyNumberFormat="1" applyFont="1" applyFill="1" applyBorder="1" applyAlignment="1">
      <alignment horizontal="right" vertical="center"/>
    </xf>
    <xf numFmtId="1" fontId="92" fillId="0" borderId="110" xfId="0" applyNumberFormat="1" applyFont="1" applyFill="1" applyBorder="1" applyAlignment="1">
      <alignment horizontal="right" vertical="center" wrapText="1" readingOrder="2"/>
    </xf>
    <xf numFmtId="0" fontId="91" fillId="0" borderId="107" xfId="0" applyNumberFormat="1" applyFont="1" applyFill="1" applyBorder="1" applyAlignment="1">
      <alignment horizontal="right" vertical="center" readingOrder="2"/>
    </xf>
    <xf numFmtId="0" fontId="91" fillId="0" borderId="108" xfId="0" applyNumberFormat="1" applyFont="1" applyFill="1" applyBorder="1" applyAlignment="1">
      <alignment horizontal="right" vertical="center" readingOrder="2"/>
    </xf>
    <xf numFmtId="0" fontId="91" fillId="0" borderId="116" xfId="0" applyNumberFormat="1" applyFont="1" applyFill="1" applyBorder="1" applyAlignment="1">
      <alignment horizontal="right" vertical="center" readingOrder="2"/>
    </xf>
    <xf numFmtId="0" fontId="7" fillId="0" borderId="0" xfId="0" applyFont="1" applyFill="1" applyAlignment="1">
      <alignment horizontal="center" vertical="center"/>
    </xf>
    <xf numFmtId="1" fontId="92" fillId="0" borderId="126" xfId="0" applyNumberFormat="1" applyFont="1" applyFill="1" applyBorder="1" applyAlignment="1">
      <alignment vertical="center" wrapText="1" readingOrder="2"/>
    </xf>
    <xf numFmtId="1" fontId="92" fillId="0" borderId="105" xfId="0" applyNumberFormat="1" applyFont="1" applyFill="1" applyBorder="1" applyAlignment="1">
      <alignment horizontal="right" vertical="center" readingOrder="2"/>
    </xf>
    <xf numFmtId="172" fontId="92" fillId="0" borderId="110" xfId="0" applyNumberFormat="1" applyFont="1" applyFill="1" applyBorder="1" applyAlignment="1">
      <alignment vertical="center" wrapText="1" readingOrder="2"/>
    </xf>
    <xf numFmtId="1" fontId="92" fillId="0" borderId="115" xfId="0" applyNumberFormat="1" applyFont="1" applyFill="1" applyBorder="1" applyAlignment="1">
      <alignment vertical="center" wrapText="1" readingOrder="2"/>
    </xf>
    <xf numFmtId="1" fontId="92" fillId="0" borderId="105" xfId="0" applyNumberFormat="1" applyFont="1" applyFill="1" applyBorder="1" applyAlignment="1" quotePrefix="1">
      <alignment horizontal="right" vertical="center" readingOrder="2"/>
    </xf>
    <xf numFmtId="1" fontId="92" fillId="0" borderId="105" xfId="0" applyNumberFormat="1" applyFont="1" applyBorder="1" applyAlignment="1">
      <alignment horizontal="right" vertical="center" readingOrder="2"/>
    </xf>
    <xf numFmtId="172" fontId="92" fillId="0" borderId="126" xfId="0" applyNumberFormat="1" applyFont="1" applyFill="1" applyBorder="1" applyAlignment="1">
      <alignment vertical="center" wrapText="1" readingOrder="2"/>
    </xf>
    <xf numFmtId="172" fontId="92" fillId="0" borderId="105" xfId="0" applyNumberFormat="1" applyFont="1" applyBorder="1" applyAlignment="1">
      <alignment horizontal="right" vertical="center" readingOrder="2"/>
    </xf>
    <xf numFmtId="1" fontId="94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Continuous"/>
    </xf>
    <xf numFmtId="0" fontId="97" fillId="0" borderId="0" xfId="0" applyFont="1" applyAlignment="1">
      <alignment horizontal="centerContinuous" vertical="center"/>
    </xf>
    <xf numFmtId="0" fontId="7" fillId="0" borderId="107" xfId="0" applyFont="1" applyBorder="1" applyAlignment="1">
      <alignment horizontal="right" vertical="center" indent="1"/>
    </xf>
    <xf numFmtId="0" fontId="7" fillId="0" borderId="127" xfId="0" applyFont="1" applyBorder="1" applyAlignment="1">
      <alignment horizontal="right" vertical="center" readingOrder="2"/>
    </xf>
    <xf numFmtId="0" fontId="7" fillId="0" borderId="110" xfId="0" applyFont="1" applyBorder="1" applyAlignment="1">
      <alignment horizontal="right" vertical="center" readingOrder="2"/>
    </xf>
    <xf numFmtId="0" fontId="7" fillId="0" borderId="111" xfId="0" applyFont="1" applyBorder="1" applyAlignment="1">
      <alignment horizontal="right" vertical="center" readingOrder="2"/>
    </xf>
    <xf numFmtId="0" fontId="7" fillId="0" borderId="111" xfId="0" applyFont="1" applyBorder="1" applyAlignment="1" quotePrefix="1">
      <alignment horizontal="right" vertical="center" readingOrder="2"/>
    </xf>
    <xf numFmtId="1" fontId="7" fillId="0" borderId="111" xfId="0" applyNumberFormat="1" applyFont="1" applyBorder="1" applyAlignment="1">
      <alignment horizontal="right" vertical="center" readingOrder="2"/>
    </xf>
    <xf numFmtId="0" fontId="7" fillId="0" borderId="108" xfId="0" applyFont="1" applyBorder="1" applyAlignment="1">
      <alignment horizontal="right" vertical="center" readingOrder="2"/>
    </xf>
    <xf numFmtId="0" fontId="7" fillId="0" borderId="110" xfId="0" applyFont="1" applyBorder="1" applyAlignment="1" quotePrefix="1">
      <alignment horizontal="right" vertical="center" readingOrder="2"/>
    </xf>
    <xf numFmtId="0" fontId="7" fillId="0" borderId="108" xfId="0" applyFont="1" applyBorder="1" applyAlignment="1">
      <alignment horizontal="right" vertical="center" indent="1"/>
    </xf>
    <xf numFmtId="0" fontId="7" fillId="0" borderId="127" xfId="0" applyFont="1" applyBorder="1" applyAlignment="1" quotePrefix="1">
      <alignment horizontal="right" vertical="center" readingOrder="2"/>
    </xf>
    <xf numFmtId="0" fontId="92" fillId="0" borderId="127" xfId="0" applyFont="1" applyBorder="1" applyAlignment="1" quotePrefix="1">
      <alignment horizontal="right" vertical="center" readingOrder="2"/>
    </xf>
    <xf numFmtId="0" fontId="92" fillId="0" borderId="110" xfId="0" applyFont="1" applyBorder="1" applyAlignment="1">
      <alignment horizontal="right" vertical="center" readingOrder="2"/>
    </xf>
    <xf numFmtId="0" fontId="92" fillId="0" borderId="111" xfId="0" applyFont="1" applyBorder="1" applyAlignment="1">
      <alignment horizontal="right" vertical="center" readingOrder="2"/>
    </xf>
    <xf numFmtId="0" fontId="92" fillId="0" borderId="108" xfId="0" applyFont="1" applyBorder="1" applyAlignment="1">
      <alignment horizontal="right" vertical="center" readingOrder="2"/>
    </xf>
    <xf numFmtId="0" fontId="92" fillId="0" borderId="0" xfId="0" applyFont="1" applyBorder="1" applyAlignment="1">
      <alignment horizontal="right" vertical="center" readingOrder="2"/>
    </xf>
    <xf numFmtId="0" fontId="92" fillId="0" borderId="0" xfId="0" applyFont="1" applyBorder="1" applyAlignment="1" quotePrefix="1">
      <alignment horizontal="right" vertical="center" readingOrder="2"/>
    </xf>
    <xf numFmtId="0" fontId="92" fillId="0" borderId="111" xfId="0" applyFont="1" applyBorder="1" applyAlignment="1" quotePrefix="1">
      <alignment horizontal="right" vertical="center" readingOrder="2"/>
    </xf>
    <xf numFmtId="0" fontId="102" fillId="0" borderId="116" xfId="0" applyFont="1" applyBorder="1" applyAlignment="1">
      <alignment horizontal="right" vertical="center" indent="1"/>
    </xf>
    <xf numFmtId="0" fontId="92" fillId="0" borderId="143" xfId="0" applyFont="1" applyBorder="1" applyAlignment="1">
      <alignment horizontal="right" vertical="center" readingOrder="2"/>
    </xf>
    <xf numFmtId="0" fontId="92" fillId="0" borderId="136" xfId="0" applyFont="1" applyBorder="1" applyAlignment="1">
      <alignment horizontal="right" vertical="center" readingOrder="2"/>
    </xf>
    <xf numFmtId="0" fontId="92" fillId="0" borderId="136" xfId="0" applyFont="1" applyBorder="1" applyAlignment="1" quotePrefix="1">
      <alignment horizontal="right" vertical="center" readingOrder="2"/>
    </xf>
    <xf numFmtId="0" fontId="92" fillId="0" borderId="116" xfId="0" applyFont="1" applyBorder="1" applyAlignment="1">
      <alignment horizontal="right" vertical="center" readingOrder="2"/>
    </xf>
    <xf numFmtId="0" fontId="92" fillId="0" borderId="115" xfId="0" applyFont="1" applyBorder="1" applyAlignment="1">
      <alignment horizontal="right" vertical="center" readingOrder="2"/>
    </xf>
    <xf numFmtId="0" fontId="7" fillId="0" borderId="103" xfId="0" applyFont="1" applyBorder="1" applyAlignment="1">
      <alignment horizontal="center" vertical="center"/>
    </xf>
    <xf numFmtId="0" fontId="92" fillId="0" borderId="128" xfId="0" applyFont="1" applyBorder="1" applyAlignment="1">
      <alignment horizontal="right" vertical="center" readingOrder="2"/>
    </xf>
    <xf numFmtId="0" fontId="92" fillId="0" borderId="105" xfId="0" applyFont="1" applyBorder="1" applyAlignment="1">
      <alignment horizontal="right" vertical="center" readingOrder="2"/>
    </xf>
    <xf numFmtId="0" fontId="92" fillId="0" borderId="118" xfId="0" applyFont="1" applyBorder="1" applyAlignment="1">
      <alignment horizontal="right" vertical="center" readingOrder="2"/>
    </xf>
    <xf numFmtId="0" fontId="92" fillId="0" borderId="103" xfId="0" applyFont="1" applyBorder="1" applyAlignment="1">
      <alignment horizontal="right" vertical="center" readingOrder="2"/>
    </xf>
    <xf numFmtId="173" fontId="7" fillId="0" borderId="0" xfId="0" applyNumberFormat="1" applyFont="1" applyAlignment="1">
      <alignment vertical="center"/>
    </xf>
    <xf numFmtId="173" fontId="0" fillId="0" borderId="0" xfId="0" applyNumberFormat="1" applyFont="1" applyAlignment="1">
      <alignment vertical="center"/>
    </xf>
    <xf numFmtId="0" fontId="97" fillId="0" borderId="140" xfId="0" applyFont="1" applyBorder="1" applyAlignment="1">
      <alignment horizontal="center" vertical="center"/>
    </xf>
    <xf numFmtId="0" fontId="88" fillId="0" borderId="140" xfId="0" applyFont="1" applyFill="1" applyBorder="1" applyAlignment="1">
      <alignment vertical="center"/>
    </xf>
    <xf numFmtId="0" fontId="7" fillId="0" borderId="140" xfId="0" applyFont="1" applyBorder="1" applyAlignment="1">
      <alignment vertical="center"/>
    </xf>
    <xf numFmtId="0" fontId="87" fillId="0" borderId="148" xfId="0" applyFont="1" applyFill="1" applyBorder="1" applyAlignment="1">
      <alignment vertical="center"/>
    </xf>
    <xf numFmtId="0" fontId="88" fillId="0" borderId="0" xfId="0" applyFont="1" applyFill="1" applyAlignment="1">
      <alignment horizontal="right" vertical="center"/>
    </xf>
    <xf numFmtId="173" fontId="88" fillId="0" borderId="0" xfId="0" applyNumberFormat="1" applyFont="1" applyFill="1" applyAlignment="1">
      <alignment vertical="center"/>
    </xf>
    <xf numFmtId="1" fontId="159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87" fillId="0" borderId="0" xfId="0" applyFont="1" applyFill="1" applyAlignment="1">
      <alignment vertical="center"/>
    </xf>
    <xf numFmtId="0" fontId="104" fillId="0" borderId="0" xfId="0" applyFont="1" applyFill="1" applyBorder="1" applyAlignment="1">
      <alignment horizontal="center" vertical="center"/>
    </xf>
    <xf numFmtId="1" fontId="105" fillId="0" borderId="143" xfId="60" applyNumberFormat="1" applyFont="1" applyFill="1" applyBorder="1" applyAlignment="1">
      <alignment horizontal="center" vertical="center" textRotation="90"/>
      <protection/>
    </xf>
    <xf numFmtId="1" fontId="88" fillId="0" borderId="115" xfId="60" applyNumberFormat="1" applyFont="1" applyFill="1" applyBorder="1" applyAlignment="1">
      <alignment horizontal="center" vertical="center" textRotation="90"/>
      <protection/>
    </xf>
    <xf numFmtId="1" fontId="88" fillId="0" borderId="143" xfId="60" applyNumberFormat="1" applyFont="1" applyFill="1" applyBorder="1" applyAlignment="1">
      <alignment horizontal="center" vertical="center" textRotation="90"/>
      <protection/>
    </xf>
    <xf numFmtId="1" fontId="88" fillId="0" borderId="132" xfId="60" applyNumberFormat="1" applyFont="1" applyFill="1" applyBorder="1" applyAlignment="1">
      <alignment horizontal="center" vertical="center" textRotation="90"/>
      <protection/>
    </xf>
    <xf numFmtId="0" fontId="88" fillId="0" borderId="139" xfId="0" applyFont="1" applyFill="1" applyBorder="1" applyAlignment="1" quotePrefix="1">
      <alignment horizontal="right" vertical="center" readingOrder="2"/>
    </xf>
    <xf numFmtId="1" fontId="88" fillId="0" borderId="135" xfId="0" applyNumberFormat="1" applyFont="1" applyFill="1" applyBorder="1" applyAlignment="1" quotePrefix="1">
      <alignment horizontal="right" vertical="center" readingOrder="2"/>
    </xf>
    <xf numFmtId="1" fontId="88" fillId="0" borderId="142" xfId="0" applyNumberFormat="1" applyFont="1" applyFill="1" applyBorder="1" applyAlignment="1" quotePrefix="1">
      <alignment horizontal="right" vertical="center" readingOrder="2"/>
    </xf>
    <xf numFmtId="1" fontId="88" fillId="0" borderId="107" xfId="0" applyNumberFormat="1" applyFont="1" applyFill="1" applyBorder="1" applyAlignment="1" quotePrefix="1">
      <alignment horizontal="right" vertical="center" readingOrder="2"/>
    </xf>
    <xf numFmtId="1" fontId="88" fillId="0" borderId="107" xfId="0" applyNumberFormat="1" applyFont="1" applyFill="1" applyBorder="1" applyAlignment="1">
      <alignment horizontal="right" readingOrder="2"/>
    </xf>
    <xf numFmtId="1" fontId="88" fillId="0" borderId="109" xfId="0" applyNumberFormat="1" applyFont="1" applyFill="1" applyBorder="1" applyAlignment="1" quotePrefix="1">
      <alignment horizontal="right" vertical="center" readingOrder="2"/>
    </xf>
    <xf numFmtId="0" fontId="88" fillId="0" borderId="0" xfId="0" applyFont="1" applyFill="1" applyBorder="1" applyAlignment="1">
      <alignment horizontal="right" vertical="center" readingOrder="2"/>
    </xf>
    <xf numFmtId="1" fontId="88" fillId="0" borderId="111" xfId="0" applyNumberFormat="1" applyFont="1" applyFill="1" applyBorder="1" applyAlignment="1" quotePrefix="1">
      <alignment horizontal="right" vertical="center" readingOrder="2"/>
    </xf>
    <xf numFmtId="1" fontId="88" fillId="0" borderId="127" xfId="0" applyNumberFormat="1" applyFont="1" applyFill="1" applyBorder="1" applyAlignment="1" quotePrefix="1">
      <alignment horizontal="right" vertical="center" readingOrder="2"/>
    </xf>
    <xf numFmtId="1" fontId="106" fillId="0" borderId="0" xfId="58" applyNumberFormat="1" applyFont="1" applyFill="1" applyBorder="1" applyAlignment="1" quotePrefix="1">
      <alignment horizontal="right" vertical="center" readingOrder="2"/>
      <protection/>
    </xf>
    <xf numFmtId="1" fontId="88" fillId="0" borderId="108" xfId="0" applyNumberFormat="1" applyFont="1" applyFill="1" applyBorder="1" applyAlignment="1" quotePrefix="1">
      <alignment horizontal="right" vertical="center" readingOrder="2"/>
    </xf>
    <xf numFmtId="1" fontId="88" fillId="0" borderId="108" xfId="0" applyNumberFormat="1" applyFont="1" applyFill="1" applyBorder="1" applyAlignment="1">
      <alignment horizontal="right" readingOrder="2"/>
    </xf>
    <xf numFmtId="1" fontId="106" fillId="0" borderId="111" xfId="58" applyNumberFormat="1" applyFont="1" applyFill="1" applyBorder="1" applyAlignment="1" quotePrefix="1">
      <alignment horizontal="right" vertical="center" readingOrder="2"/>
      <protection/>
    </xf>
    <xf numFmtId="1" fontId="106" fillId="0" borderId="108" xfId="58" applyNumberFormat="1" applyFont="1" applyFill="1" applyBorder="1" applyAlignment="1" quotePrefix="1">
      <alignment horizontal="right" vertical="center" readingOrder="2"/>
      <protection/>
    </xf>
    <xf numFmtId="1" fontId="106" fillId="0" borderId="109" xfId="58" applyNumberFormat="1" applyFont="1" applyFill="1" applyBorder="1" applyAlignment="1" quotePrefix="1">
      <alignment horizontal="right" vertical="center" readingOrder="2"/>
      <protection/>
    </xf>
    <xf numFmtId="0" fontId="88" fillId="0" borderId="0" xfId="0" applyFont="1" applyFill="1" applyBorder="1" applyAlignment="1" quotePrefix="1">
      <alignment horizontal="right" vertical="center" readingOrder="2"/>
    </xf>
    <xf numFmtId="1" fontId="88" fillId="0" borderId="114" xfId="0" applyNumberFormat="1" applyFont="1" applyFill="1" applyBorder="1" applyAlignment="1" quotePrefix="1">
      <alignment horizontal="right" vertical="center" readingOrder="2"/>
    </xf>
    <xf numFmtId="1" fontId="88" fillId="0" borderId="136" xfId="0" applyNumberFormat="1" applyFont="1" applyFill="1" applyBorder="1" applyAlignment="1" quotePrefix="1">
      <alignment horizontal="right" vertical="center" readingOrder="2"/>
    </xf>
    <xf numFmtId="1" fontId="88" fillId="0" borderId="143" xfId="0" applyNumberFormat="1" applyFont="1" applyFill="1" applyBorder="1" applyAlignment="1" quotePrefix="1">
      <alignment horizontal="right" vertical="center" readingOrder="2"/>
    </xf>
    <xf numFmtId="1" fontId="88" fillId="0" borderId="116" xfId="0" applyNumberFormat="1" applyFont="1" applyFill="1" applyBorder="1" applyAlignment="1" quotePrefix="1">
      <alignment horizontal="right" vertical="center" readingOrder="2"/>
    </xf>
    <xf numFmtId="1" fontId="88" fillId="0" borderId="116" xfId="0" applyNumberFormat="1" applyFont="1" applyFill="1" applyBorder="1" applyAlignment="1">
      <alignment horizontal="right" readingOrder="2"/>
    </xf>
    <xf numFmtId="0" fontId="88" fillId="0" borderId="103" xfId="0" applyFont="1" applyFill="1" applyBorder="1" applyAlignment="1">
      <alignment horizontal="center" vertical="center"/>
    </xf>
    <xf numFmtId="1" fontId="88" fillId="0" borderId="104" xfId="0" applyNumberFormat="1" applyFont="1" applyFill="1" applyBorder="1" applyAlignment="1">
      <alignment horizontal="right" vertical="center" readingOrder="2"/>
    </xf>
    <xf numFmtId="1" fontId="88" fillId="0" borderId="129" xfId="0" applyNumberFormat="1" applyFont="1" applyFill="1" applyBorder="1" applyAlignment="1">
      <alignment horizontal="right" vertical="center" readingOrder="2"/>
    </xf>
    <xf numFmtId="1" fontId="88" fillId="0" borderId="118" xfId="0" applyNumberFormat="1" applyFont="1" applyFill="1" applyBorder="1" applyAlignment="1">
      <alignment horizontal="right" vertical="center" readingOrder="2"/>
    </xf>
    <xf numFmtId="1" fontId="88" fillId="0" borderId="128" xfId="0" applyNumberFormat="1" applyFont="1" applyFill="1" applyBorder="1" applyAlignment="1">
      <alignment horizontal="right" vertical="center" readingOrder="2"/>
    </xf>
    <xf numFmtId="1" fontId="88" fillId="0" borderId="103" xfId="0" applyNumberFormat="1" applyFont="1" applyFill="1" applyBorder="1" applyAlignment="1">
      <alignment horizontal="right" vertical="center" readingOrder="2"/>
    </xf>
    <xf numFmtId="1" fontId="88" fillId="0" borderId="131" xfId="0" applyNumberFormat="1" applyFont="1" applyFill="1" applyBorder="1" applyAlignment="1">
      <alignment horizontal="right" vertical="center" readingOrder="2"/>
    </xf>
    <xf numFmtId="0" fontId="7" fillId="0" borderId="0" xfId="61" applyFont="1" applyFill="1" applyAlignment="1">
      <alignment horizontal="right"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140" xfId="61" applyFont="1" applyFill="1" applyBorder="1" applyAlignment="1">
      <alignment horizontal="right" vertical="center"/>
      <protection/>
    </xf>
    <xf numFmtId="0" fontId="7" fillId="0" borderId="140" xfId="61" applyFont="1" applyFill="1" applyBorder="1" applyAlignment="1">
      <alignment horizontal="right" vertical="center"/>
      <protection/>
    </xf>
    <xf numFmtId="0" fontId="0" fillId="0" borderId="114" xfId="61" applyFont="1" applyFill="1" applyBorder="1" applyAlignment="1">
      <alignment horizontal="center" vertical="center"/>
      <protection/>
    </xf>
    <xf numFmtId="0" fontId="0" fillId="0" borderId="132" xfId="61" applyFont="1" applyFill="1" applyBorder="1" applyAlignment="1">
      <alignment horizontal="center" vertical="center"/>
      <protection/>
    </xf>
    <xf numFmtId="0" fontId="0" fillId="0" borderId="108" xfId="62" applyFont="1" applyBorder="1" applyAlignment="1">
      <alignment horizontal="right" vertical="center" indent="1" readingOrder="2"/>
      <protection/>
    </xf>
    <xf numFmtId="1" fontId="87" fillId="0" borderId="109" xfId="61" applyNumberFormat="1" applyFont="1" applyFill="1" applyBorder="1" applyAlignment="1" quotePrefix="1">
      <alignment horizontal="right" vertical="center" readingOrder="2"/>
      <protection/>
    </xf>
    <xf numFmtId="1" fontId="87" fillId="0" borderId="110" xfId="61" applyNumberFormat="1" applyFont="1" applyFill="1" applyBorder="1" applyAlignment="1" quotePrefix="1">
      <alignment horizontal="right" vertical="center" readingOrder="2"/>
      <protection/>
    </xf>
    <xf numFmtId="1" fontId="87" fillId="0" borderId="111" xfId="61" applyNumberFormat="1" applyFont="1" applyFill="1" applyBorder="1" applyAlignment="1" quotePrefix="1">
      <alignment horizontal="right" vertical="center" readingOrder="2"/>
      <protection/>
    </xf>
    <xf numFmtId="1" fontId="87" fillId="0" borderId="112" xfId="61" applyNumberFormat="1" applyFont="1" applyFill="1" applyBorder="1" applyAlignment="1">
      <alignment horizontal="right" vertical="center" readingOrder="2"/>
      <protection/>
    </xf>
    <xf numFmtId="1" fontId="87" fillId="0" borderId="109" xfId="61" applyNumberFormat="1" applyFont="1" applyFill="1" applyBorder="1" applyAlignment="1">
      <alignment horizontal="right" vertical="center" readingOrder="2"/>
      <protection/>
    </xf>
    <xf numFmtId="1" fontId="87" fillId="0" borderId="111" xfId="61" applyNumberFormat="1" applyFont="1" applyFill="1" applyBorder="1" applyAlignment="1">
      <alignment horizontal="right" vertical="center" readingOrder="2"/>
      <protection/>
    </xf>
    <xf numFmtId="1" fontId="87" fillId="0" borderId="112" xfId="61" applyNumberFormat="1" applyFont="1" applyFill="1" applyBorder="1" applyAlignment="1" quotePrefix="1">
      <alignment horizontal="right" vertical="center" readingOrder="2"/>
      <protection/>
    </xf>
    <xf numFmtId="1" fontId="87" fillId="0" borderId="107" xfId="61" applyNumberFormat="1" applyFont="1" applyFill="1" applyBorder="1" applyAlignment="1">
      <alignment horizontal="right" vertical="center" readingOrder="2"/>
      <protection/>
    </xf>
    <xf numFmtId="1" fontId="87" fillId="0" borderId="110" xfId="61" applyNumberFormat="1" applyFont="1" applyFill="1" applyBorder="1" applyAlignment="1">
      <alignment horizontal="right" vertical="center" readingOrder="2"/>
      <protection/>
    </xf>
    <xf numFmtId="1" fontId="87" fillId="0" borderId="108" xfId="61" applyNumberFormat="1" applyFont="1" applyFill="1" applyBorder="1" applyAlignment="1">
      <alignment horizontal="right" vertical="center" readingOrder="2"/>
      <protection/>
    </xf>
    <xf numFmtId="0" fontId="0" fillId="0" borderId="108" xfId="62" applyFont="1" applyFill="1" applyBorder="1" applyAlignment="1">
      <alignment horizontal="right" vertical="center" indent="1" readingOrder="2"/>
      <protection/>
    </xf>
    <xf numFmtId="1" fontId="87" fillId="0" borderId="127" xfId="61" applyNumberFormat="1" applyFont="1" applyFill="1" applyBorder="1" applyAlignment="1">
      <alignment horizontal="right" vertical="center" readingOrder="2"/>
      <protection/>
    </xf>
    <xf numFmtId="1" fontId="87" fillId="0" borderId="127" xfId="61" applyNumberFormat="1" applyFont="1" applyFill="1" applyBorder="1" applyAlignment="1" quotePrefix="1">
      <alignment horizontal="right" vertical="center" readingOrder="2"/>
      <protection/>
    </xf>
    <xf numFmtId="1" fontId="87" fillId="0" borderId="110" xfId="61" applyNumberFormat="1" applyFont="1" applyFill="1" applyBorder="1" applyAlignment="1">
      <alignment vertical="center" readingOrder="2"/>
      <protection/>
    </xf>
    <xf numFmtId="1" fontId="87" fillId="0" borderId="108" xfId="61" applyNumberFormat="1" applyFont="1" applyFill="1" applyBorder="1" applyAlignment="1" quotePrefix="1">
      <alignment horizontal="right" vertical="center" readingOrder="2"/>
      <protection/>
    </xf>
    <xf numFmtId="1" fontId="87" fillId="0" borderId="0" xfId="61" applyNumberFormat="1" applyFont="1" applyFill="1" applyBorder="1" applyAlignment="1" quotePrefix="1">
      <alignment horizontal="right" vertical="center" readingOrder="2"/>
      <protection/>
    </xf>
    <xf numFmtId="1" fontId="88" fillId="0" borderId="139" xfId="60" applyNumberFormat="1" applyFont="1" applyFill="1" applyBorder="1" applyAlignment="1" applyProtection="1">
      <alignment horizontal="center" vertical="center"/>
      <protection/>
    </xf>
    <xf numFmtId="1" fontId="88" fillId="0" borderId="131" xfId="60" applyNumberFormat="1" applyFont="1" applyFill="1" applyBorder="1" applyAlignment="1">
      <alignment horizontal="center" vertical="center" wrapText="1"/>
      <protection/>
    </xf>
    <xf numFmtId="1" fontId="88" fillId="0" borderId="136" xfId="60" applyNumberFormat="1" applyFont="1" applyFill="1" applyBorder="1" applyAlignment="1">
      <alignment horizontal="center" vertical="center" textRotation="90"/>
      <protection/>
    </xf>
    <xf numFmtId="0" fontId="88" fillId="0" borderId="135" xfId="0" applyFont="1" applyFill="1" applyBorder="1" applyAlignment="1" quotePrefix="1">
      <alignment horizontal="right" vertical="center" readingOrder="2"/>
    </xf>
    <xf numFmtId="0" fontId="88" fillId="0" borderId="111" xfId="0" applyFont="1" applyFill="1" applyBorder="1" applyAlignment="1" quotePrefix="1">
      <alignment horizontal="right" vertical="center" readingOrder="2"/>
    </xf>
    <xf numFmtId="0" fontId="88" fillId="0" borderId="136" xfId="0" applyFont="1" applyFill="1" applyBorder="1" applyAlignment="1" quotePrefix="1">
      <alignment horizontal="right" vertical="center" readingOrder="2"/>
    </xf>
    <xf numFmtId="1" fontId="88" fillId="0" borderId="134" xfId="0" applyNumberFormat="1" applyFont="1" applyFill="1" applyBorder="1" applyAlignment="1" quotePrefix="1">
      <alignment horizontal="right" vertical="center" readingOrder="2"/>
    </xf>
    <xf numFmtId="1" fontId="88" fillId="0" borderId="131" xfId="60" applyNumberFormat="1" applyFont="1" applyFill="1" applyBorder="1" applyAlignment="1">
      <alignment horizontal="center" vertical="center" textRotation="90"/>
      <protection/>
    </xf>
    <xf numFmtId="1" fontId="88" fillId="0" borderId="148" xfId="0" applyNumberFormat="1" applyFont="1" applyFill="1" applyBorder="1" applyAlignment="1" quotePrefix="1">
      <alignment horizontal="right" vertical="center" readingOrder="2"/>
    </xf>
    <xf numFmtId="1" fontId="88" fillId="0" borderId="113" xfId="0" applyNumberFormat="1" applyFont="1" applyFill="1" applyBorder="1" applyAlignment="1" quotePrefix="1">
      <alignment horizontal="right" vertical="center" readingOrder="2"/>
    </xf>
    <xf numFmtId="1" fontId="106" fillId="0" borderId="113" xfId="58" applyNumberFormat="1" applyFont="1" applyFill="1" applyBorder="1" applyAlignment="1" quotePrefix="1">
      <alignment horizontal="right" vertical="center" readingOrder="2"/>
      <protection/>
    </xf>
    <xf numFmtId="1" fontId="88" fillId="0" borderId="138" xfId="0" applyNumberFormat="1" applyFont="1" applyFill="1" applyBorder="1" applyAlignment="1" quotePrefix="1">
      <alignment horizontal="right" vertical="center" readingOrder="2"/>
    </xf>
    <xf numFmtId="1" fontId="87" fillId="0" borderId="103" xfId="60" applyNumberFormat="1" applyFont="1" applyFill="1" applyBorder="1" applyAlignment="1">
      <alignment horizontal="center" vertical="center" wrapText="1"/>
      <protection/>
    </xf>
    <xf numFmtId="1" fontId="88" fillId="0" borderId="116" xfId="60" applyNumberFormat="1" applyFont="1" applyFill="1" applyBorder="1" applyAlignment="1">
      <alignment horizontal="center" vertical="center" textRotation="90"/>
      <protection/>
    </xf>
    <xf numFmtId="1" fontId="88" fillId="0" borderId="142" xfId="0" applyNumberFormat="1" applyFont="1" applyFill="1" applyBorder="1" applyAlignment="1">
      <alignment horizontal="right" vertical="center" readingOrder="2"/>
    </xf>
    <xf numFmtId="1" fontId="106" fillId="0" borderId="127" xfId="58" applyNumberFormat="1" applyFont="1" applyFill="1" applyBorder="1" applyAlignment="1" quotePrefix="1">
      <alignment horizontal="right" vertical="center" readingOrder="2"/>
      <protection/>
    </xf>
    <xf numFmtId="1" fontId="88" fillId="0" borderId="104" xfId="60" applyNumberFormat="1" applyFont="1" applyFill="1" applyBorder="1" applyAlignment="1">
      <alignment horizontal="center" vertical="center" textRotation="90"/>
      <protection/>
    </xf>
    <xf numFmtId="0" fontId="0" fillId="38" borderId="108" xfId="62" applyFont="1" applyFill="1" applyBorder="1" applyAlignment="1">
      <alignment horizontal="right" vertical="center" indent="1" readingOrder="2"/>
      <protection/>
    </xf>
    <xf numFmtId="0" fontId="0" fillId="39" borderId="108" xfId="62" applyFont="1" applyFill="1" applyBorder="1" applyAlignment="1">
      <alignment horizontal="right" vertical="center" indent="1" readingOrder="2"/>
      <protection/>
    </xf>
    <xf numFmtId="0" fontId="0" fillId="40" borderId="108" xfId="62" applyFont="1" applyFill="1" applyBorder="1" applyAlignment="1">
      <alignment horizontal="right" vertical="center" indent="1" readingOrder="2"/>
      <protection/>
    </xf>
    <xf numFmtId="0" fontId="0" fillId="0" borderId="130" xfId="0" applyBorder="1" applyAlignment="1">
      <alignment/>
    </xf>
    <xf numFmtId="1" fontId="0" fillId="0" borderId="129" xfId="0" applyNumberFormat="1" applyBorder="1" applyAlignment="1">
      <alignment/>
    </xf>
    <xf numFmtId="1" fontId="0" fillId="0" borderId="131" xfId="0" applyNumberFormat="1" applyBorder="1" applyAlignment="1">
      <alignment/>
    </xf>
    <xf numFmtId="1" fontId="0" fillId="0" borderId="104" xfId="0" applyNumberFormat="1" applyBorder="1" applyAlignment="1">
      <alignment/>
    </xf>
    <xf numFmtId="1" fontId="0" fillId="0" borderId="105" xfId="0" applyNumberFormat="1" applyBorder="1" applyAlignment="1">
      <alignment/>
    </xf>
    <xf numFmtId="1" fontId="0" fillId="0" borderId="106" xfId="0" applyNumberFormat="1" applyBorder="1" applyAlignment="1">
      <alignment/>
    </xf>
    <xf numFmtId="0" fontId="92" fillId="4" borderId="104" xfId="0" applyNumberFormat="1" applyFont="1" applyFill="1" applyBorder="1" applyAlignment="1">
      <alignment horizontal="center" vertical="center" wrapText="1"/>
    </xf>
    <xf numFmtId="0" fontId="92" fillId="4" borderId="105" xfId="0" applyNumberFormat="1" applyFont="1" applyFill="1" applyBorder="1" applyAlignment="1">
      <alignment horizontal="center" vertical="center" wrapText="1"/>
    </xf>
    <xf numFmtId="1" fontId="92" fillId="4" borderId="125" xfId="0" applyNumberFormat="1" applyFont="1" applyFill="1" applyBorder="1" applyAlignment="1">
      <alignment horizontal="right" vertical="center" readingOrder="2"/>
    </xf>
    <xf numFmtId="0" fontId="92" fillId="4" borderId="110" xfId="0" applyFont="1" applyFill="1" applyBorder="1" applyAlignment="1" quotePrefix="1">
      <alignment horizontal="right" vertical="center" readingOrder="2"/>
    </xf>
    <xf numFmtId="1" fontId="92" fillId="4" borderId="110" xfId="0" applyNumberFormat="1" applyFont="1" applyFill="1" applyBorder="1" applyAlignment="1">
      <alignment horizontal="right" vertical="center" readingOrder="2"/>
    </xf>
    <xf numFmtId="1" fontId="92" fillId="4" borderId="111" xfId="0" applyNumberFormat="1" applyFont="1" applyFill="1" applyBorder="1" applyAlignment="1">
      <alignment horizontal="right" vertical="center" readingOrder="2"/>
    </xf>
    <xf numFmtId="1" fontId="92" fillId="4" borderId="115" xfId="0" applyNumberFormat="1" applyFont="1" applyFill="1" applyBorder="1" applyAlignment="1">
      <alignment horizontal="right" vertical="center" readingOrder="2"/>
    </xf>
    <xf numFmtId="1" fontId="92" fillId="4" borderId="136" xfId="0" applyNumberFormat="1" applyFont="1" applyFill="1" applyBorder="1" applyAlignment="1">
      <alignment horizontal="right" vertical="center" readingOrder="2"/>
    </xf>
    <xf numFmtId="1" fontId="92" fillId="4" borderId="104" xfId="0" applyNumberFormat="1" applyFont="1" applyFill="1" applyBorder="1" applyAlignment="1" applyProtection="1">
      <alignment horizontal="right" vertical="center" readingOrder="2"/>
      <protection/>
    </xf>
    <xf numFmtId="1" fontId="92" fillId="4" borderId="105" xfId="0" applyNumberFormat="1" applyFont="1" applyFill="1" applyBorder="1" applyAlignment="1" applyProtection="1">
      <alignment horizontal="right" vertical="center" readingOrder="2"/>
      <protection/>
    </xf>
    <xf numFmtId="0" fontId="92" fillId="6" borderId="118" xfId="0" applyNumberFormat="1" applyFont="1" applyFill="1" applyBorder="1" applyAlignment="1">
      <alignment horizontal="center" vertical="center" wrapText="1"/>
    </xf>
    <xf numFmtId="0" fontId="92" fillId="6" borderId="105" xfId="0" applyNumberFormat="1" applyFont="1" applyFill="1" applyBorder="1" applyAlignment="1">
      <alignment horizontal="center" wrapText="1"/>
    </xf>
    <xf numFmtId="1" fontId="92" fillId="6" borderId="110" xfId="0" applyNumberFormat="1" applyFont="1" applyFill="1" applyBorder="1" applyAlignment="1">
      <alignment horizontal="right" vertical="center" readingOrder="2"/>
    </xf>
    <xf numFmtId="1" fontId="92" fillId="6" borderId="127" xfId="0" applyNumberFormat="1" applyFont="1" applyFill="1" applyBorder="1" applyAlignment="1">
      <alignment horizontal="right" vertical="center" readingOrder="2"/>
    </xf>
    <xf numFmtId="0" fontId="92" fillId="6" borderId="127" xfId="0" applyFont="1" applyFill="1" applyBorder="1" applyAlignment="1">
      <alignment horizontal="right" vertical="center" readingOrder="2"/>
    </xf>
    <xf numFmtId="1" fontId="92" fillId="6" borderId="105" xfId="0" applyNumberFormat="1" applyFont="1" applyFill="1" applyBorder="1" applyAlignment="1" applyProtection="1">
      <alignment horizontal="right" vertical="center" readingOrder="2"/>
      <protection/>
    </xf>
    <xf numFmtId="1" fontId="7" fillId="0" borderId="0" xfId="60" applyNumberFormat="1" applyFont="1" applyFill="1" applyAlignment="1">
      <alignment vertical="center"/>
      <protection/>
    </xf>
    <xf numFmtId="0" fontId="92" fillId="0" borderId="0" xfId="60" applyFont="1" applyFill="1" applyAlignment="1">
      <alignment vertical="center"/>
      <protection/>
    </xf>
    <xf numFmtId="1" fontId="92" fillId="0" borderId="0" xfId="60" applyNumberFormat="1" applyFont="1" applyFill="1" applyAlignment="1">
      <alignment vertical="center"/>
      <protection/>
    </xf>
    <xf numFmtId="1" fontId="0" fillId="0" borderId="129" xfId="60" applyNumberFormat="1" applyFont="1" applyFill="1" applyBorder="1" applyAlignment="1">
      <alignment horizontal="center" vertical="center" wrapText="1"/>
      <protection/>
    </xf>
    <xf numFmtId="1" fontId="92" fillId="0" borderId="114" xfId="60" applyNumberFormat="1" applyFont="1" applyFill="1" applyBorder="1" applyAlignment="1">
      <alignment horizontal="center" vertical="center" textRotation="90"/>
      <protection/>
    </xf>
    <xf numFmtId="1" fontId="92" fillId="0" borderId="115" xfId="60" applyNumberFormat="1" applyFont="1" applyFill="1" applyBorder="1" applyAlignment="1">
      <alignment horizontal="center" vertical="center" textRotation="90"/>
      <protection/>
    </xf>
    <xf numFmtId="1" fontId="92" fillId="0" borderId="136" xfId="60" applyNumberFormat="1" applyFont="1" applyFill="1" applyBorder="1" applyAlignment="1">
      <alignment horizontal="center" vertical="center" textRotation="90"/>
      <protection/>
    </xf>
    <xf numFmtId="1" fontId="92" fillId="0" borderId="103" xfId="60" applyNumberFormat="1" applyFont="1" applyFill="1" applyBorder="1" applyAlignment="1">
      <alignment horizontal="center" vertical="center" textRotation="90"/>
      <protection/>
    </xf>
    <xf numFmtId="1" fontId="92" fillId="0" borderId="106" xfId="60" applyNumberFormat="1" applyFont="1" applyFill="1" applyBorder="1" applyAlignment="1">
      <alignment horizontal="center" vertical="center" textRotation="90"/>
      <protection/>
    </xf>
    <xf numFmtId="1" fontId="0" fillId="0" borderId="132" xfId="60" applyNumberFormat="1" applyFont="1" applyFill="1" applyBorder="1" applyAlignment="1">
      <alignment horizontal="center" vertical="center" textRotation="90" readingOrder="1"/>
      <protection/>
    </xf>
    <xf numFmtId="1" fontId="92" fillId="0" borderId="143" xfId="60" applyNumberFormat="1" applyFont="1" applyFill="1" applyBorder="1" applyAlignment="1">
      <alignment horizontal="center" vertical="center" textRotation="90"/>
      <protection/>
    </xf>
    <xf numFmtId="1" fontId="7" fillId="0" borderId="108" xfId="60" applyNumberFormat="1" applyFont="1" applyFill="1" applyBorder="1" applyAlignment="1">
      <alignment horizontal="right" vertical="center" indent="1"/>
      <protection/>
    </xf>
    <xf numFmtId="1" fontId="7" fillId="0" borderId="134" xfId="60" applyNumberFormat="1" applyFont="1" applyFill="1" applyBorder="1" applyAlignment="1">
      <alignment horizontal="right" vertical="center" readingOrder="2"/>
      <protection/>
    </xf>
    <xf numFmtId="1" fontId="7" fillId="0" borderId="126" xfId="60" applyNumberFormat="1" applyFont="1" applyFill="1" applyBorder="1" applyAlignment="1">
      <alignment horizontal="right" vertical="center" readingOrder="2"/>
      <protection/>
    </xf>
    <xf numFmtId="1" fontId="7" fillId="0" borderId="135" xfId="60" applyNumberFormat="1" applyFont="1" applyFill="1" applyBorder="1" applyAlignment="1" quotePrefix="1">
      <alignment horizontal="right" vertical="center" readingOrder="2"/>
      <protection/>
    </xf>
    <xf numFmtId="1" fontId="7" fillId="0" borderId="107" xfId="60" applyNumberFormat="1" applyFont="1" applyFill="1" applyBorder="1" applyAlignment="1">
      <alignment horizontal="right" vertical="center" readingOrder="2"/>
      <protection/>
    </xf>
    <xf numFmtId="1" fontId="7" fillId="0" borderId="135" xfId="60" applyNumberFormat="1" applyFont="1" applyFill="1" applyBorder="1" applyAlignment="1">
      <alignment horizontal="right" vertical="center" readingOrder="2"/>
      <protection/>
    </xf>
    <xf numFmtId="1" fontId="7" fillId="0" borderId="133" xfId="60" applyNumberFormat="1" applyFont="1" applyFill="1" applyBorder="1" applyAlignment="1">
      <alignment horizontal="right" vertical="center" readingOrder="2"/>
      <protection/>
    </xf>
    <xf numFmtId="0" fontId="7" fillId="0" borderId="126" xfId="63" applyFont="1" applyFill="1" applyBorder="1" applyAlignment="1" quotePrefix="1">
      <alignment horizontal="right" vertical="center" readingOrder="2"/>
      <protection/>
    </xf>
    <xf numFmtId="1" fontId="7" fillId="0" borderId="126" xfId="60" applyNumberFormat="1" applyFont="1" applyFill="1" applyBorder="1" applyAlignment="1" quotePrefix="1">
      <alignment horizontal="right" vertical="center" readingOrder="2"/>
      <protection/>
    </xf>
    <xf numFmtId="1" fontId="7" fillId="0" borderId="112" xfId="60" applyNumberFormat="1" applyFont="1" applyFill="1" applyBorder="1" applyAlignment="1" quotePrefix="1">
      <alignment horizontal="right" vertical="center" readingOrder="2"/>
      <protection/>
    </xf>
    <xf numFmtId="1" fontId="7" fillId="0" borderId="142" xfId="60" applyNumberFormat="1" applyFont="1" applyFill="1" applyBorder="1" applyAlignment="1">
      <alignment horizontal="right" vertical="center" readingOrder="2"/>
      <protection/>
    </xf>
    <xf numFmtId="1" fontId="7" fillId="0" borderId="108" xfId="63" applyNumberFormat="1" applyFont="1" applyFill="1" applyBorder="1" applyAlignment="1">
      <alignment horizontal="right" vertical="center" indent="1"/>
      <protection/>
    </xf>
    <xf numFmtId="1" fontId="7" fillId="0" borderId="109" xfId="60" applyNumberFormat="1" applyFont="1" applyFill="1" applyBorder="1" applyAlignment="1" quotePrefix="1">
      <alignment horizontal="right" vertical="center" readingOrder="2"/>
      <protection/>
    </xf>
    <xf numFmtId="1" fontId="7" fillId="0" borderId="110" xfId="60" applyNumberFormat="1" applyFont="1" applyFill="1" applyBorder="1" applyAlignment="1" quotePrefix="1">
      <alignment horizontal="right" vertical="center" readingOrder="2"/>
      <protection/>
    </xf>
    <xf numFmtId="1" fontId="7" fillId="0" borderId="111" xfId="60" applyNumberFormat="1" applyFont="1" applyFill="1" applyBorder="1" applyAlignment="1" quotePrefix="1">
      <alignment horizontal="right" vertical="center" readingOrder="2"/>
      <protection/>
    </xf>
    <xf numFmtId="1" fontId="7" fillId="0" borderId="108" xfId="60" applyNumberFormat="1" applyFont="1" applyFill="1" applyBorder="1" applyAlignment="1" quotePrefix="1">
      <alignment horizontal="right" vertical="center" readingOrder="2"/>
      <protection/>
    </xf>
    <xf numFmtId="1" fontId="7" fillId="0" borderId="109" xfId="60" applyNumberFormat="1" applyFont="1" applyFill="1" applyBorder="1" applyAlignment="1">
      <alignment horizontal="right" vertical="center" readingOrder="2"/>
      <protection/>
    </xf>
    <xf numFmtId="1" fontId="7" fillId="0" borderId="110" xfId="60" applyNumberFormat="1" applyFont="1" applyFill="1" applyBorder="1" applyAlignment="1">
      <alignment horizontal="right" vertical="center" readingOrder="2"/>
      <protection/>
    </xf>
    <xf numFmtId="1" fontId="7" fillId="0" borderId="112" xfId="60" applyNumberFormat="1" applyFont="1" applyFill="1" applyBorder="1" applyAlignment="1">
      <alignment horizontal="right" vertical="center" readingOrder="2"/>
      <protection/>
    </xf>
    <xf numFmtId="0" fontId="7" fillId="0" borderId="110" xfId="63" applyFont="1" applyFill="1" applyBorder="1" applyAlignment="1">
      <alignment horizontal="right" vertical="center" readingOrder="2"/>
      <protection/>
    </xf>
    <xf numFmtId="1" fontId="7" fillId="0" borderId="127" xfId="60" applyNumberFormat="1" applyFont="1" applyFill="1" applyBorder="1" applyAlignment="1" quotePrefix="1">
      <alignment horizontal="right" vertical="center" readingOrder="2"/>
      <protection/>
    </xf>
    <xf numFmtId="1" fontId="7" fillId="0" borderId="108" xfId="60" applyNumberFormat="1" applyFont="1" applyFill="1" applyBorder="1" applyAlignment="1">
      <alignment horizontal="right" vertical="center" readingOrder="2"/>
      <protection/>
    </xf>
    <xf numFmtId="1" fontId="7" fillId="0" borderId="111" xfId="60" applyNumberFormat="1" applyFont="1" applyFill="1" applyBorder="1" applyAlignment="1">
      <alignment horizontal="right" vertical="center" readingOrder="2"/>
      <protection/>
    </xf>
    <xf numFmtId="0" fontId="7" fillId="0" borderId="110" xfId="63" applyFont="1" applyFill="1" applyBorder="1" applyAlignment="1" quotePrefix="1">
      <alignment horizontal="right" vertical="center" readingOrder="2"/>
      <protection/>
    </xf>
    <xf numFmtId="1" fontId="7" fillId="0" borderId="127" xfId="60" applyNumberFormat="1" applyFont="1" applyFill="1" applyBorder="1" applyAlignment="1">
      <alignment horizontal="right" vertical="center" readingOrder="2"/>
      <protection/>
    </xf>
    <xf numFmtId="1" fontId="92" fillId="0" borderId="108" xfId="60" applyNumberFormat="1" applyFont="1" applyFill="1" applyBorder="1" applyAlignment="1">
      <alignment horizontal="right" vertical="center" indent="1"/>
      <protection/>
    </xf>
    <xf numFmtId="1" fontId="7" fillId="0" borderId="114" xfId="60" applyNumberFormat="1" applyFont="1" applyFill="1" applyBorder="1" applyAlignment="1" quotePrefix="1">
      <alignment horizontal="right" vertical="center" readingOrder="2"/>
      <protection/>
    </xf>
    <xf numFmtId="1" fontId="7" fillId="0" borderId="115" xfId="60" applyNumberFormat="1" applyFont="1" applyFill="1" applyBorder="1" applyAlignment="1" quotePrefix="1">
      <alignment horizontal="right" vertical="center" readingOrder="2"/>
      <protection/>
    </xf>
    <xf numFmtId="1" fontId="7" fillId="0" borderId="136" xfId="60" applyNumberFormat="1" applyFont="1" applyFill="1" applyBorder="1" applyAlignment="1" quotePrefix="1">
      <alignment horizontal="right" vertical="center" readingOrder="2"/>
      <protection/>
    </xf>
    <xf numFmtId="1" fontId="7" fillId="0" borderId="116" xfId="60" applyNumberFormat="1" applyFont="1" applyFill="1" applyBorder="1" applyAlignment="1">
      <alignment horizontal="right" vertical="center" readingOrder="2"/>
      <protection/>
    </xf>
    <xf numFmtId="1" fontId="7" fillId="0" borderId="114" xfId="60" applyNumberFormat="1" applyFont="1" applyFill="1" applyBorder="1" applyAlignment="1">
      <alignment horizontal="right" vertical="center" readingOrder="2"/>
      <protection/>
    </xf>
    <xf numFmtId="1" fontId="7" fillId="0" borderId="115" xfId="60" applyNumberFormat="1" applyFont="1" applyFill="1" applyBorder="1" applyAlignment="1">
      <alignment horizontal="right" vertical="center" readingOrder="2"/>
      <protection/>
    </xf>
    <xf numFmtId="1" fontId="7" fillId="0" borderId="136" xfId="60" applyNumberFormat="1" applyFont="1" applyFill="1" applyBorder="1" applyAlignment="1">
      <alignment horizontal="right" vertical="center" readingOrder="2"/>
      <protection/>
    </xf>
    <xf numFmtId="1" fontId="7" fillId="0" borderId="132" xfId="60" applyNumberFormat="1" applyFont="1" applyFill="1" applyBorder="1" applyAlignment="1">
      <alignment horizontal="right" vertical="center" readingOrder="2"/>
      <protection/>
    </xf>
    <xf numFmtId="0" fontId="7" fillId="0" borderId="115" xfId="63" applyFont="1" applyFill="1" applyBorder="1" applyAlignment="1">
      <alignment horizontal="right" vertical="center" readingOrder="2"/>
      <protection/>
    </xf>
    <xf numFmtId="1" fontId="7" fillId="0" borderId="143" xfId="60" applyNumberFormat="1" applyFont="1" applyFill="1" applyBorder="1" applyAlignment="1" quotePrefix="1">
      <alignment horizontal="right" vertical="center" readingOrder="2"/>
      <protection/>
    </xf>
    <xf numFmtId="1" fontId="92" fillId="0" borderId="103" xfId="60" applyNumberFormat="1" applyFont="1" applyFill="1" applyBorder="1" applyAlignment="1">
      <alignment horizontal="center" vertical="center"/>
      <protection/>
    </xf>
    <xf numFmtId="1" fontId="7" fillId="0" borderId="130" xfId="60" applyNumberFormat="1" applyFont="1" applyFill="1" applyBorder="1" applyAlignment="1">
      <alignment horizontal="right" vertical="center" readingOrder="2"/>
      <protection/>
    </xf>
    <xf numFmtId="1" fontId="7" fillId="0" borderId="105" xfId="60" applyNumberFormat="1" applyFont="1" applyFill="1" applyBorder="1" applyAlignment="1">
      <alignment horizontal="right" vertical="center" readingOrder="2"/>
      <protection/>
    </xf>
    <xf numFmtId="1" fontId="7" fillId="0" borderId="118" xfId="60" applyNumberFormat="1" applyFont="1" applyFill="1" applyBorder="1" applyAlignment="1">
      <alignment horizontal="right" vertical="center" readingOrder="2"/>
      <protection/>
    </xf>
    <xf numFmtId="1" fontId="7" fillId="0" borderId="103" xfId="60" applyNumberFormat="1" applyFont="1" applyFill="1" applyBorder="1" applyAlignment="1">
      <alignment horizontal="right" vertical="center" readingOrder="2"/>
      <protection/>
    </xf>
    <xf numFmtId="1" fontId="7" fillId="0" borderId="106" xfId="60" applyNumberFormat="1" applyFont="1" applyFill="1" applyBorder="1" applyAlignment="1">
      <alignment horizontal="right" vertical="center" readingOrder="2"/>
      <protection/>
    </xf>
    <xf numFmtId="1" fontId="7" fillId="0" borderId="104" xfId="60" applyNumberFormat="1" applyFont="1" applyFill="1" applyBorder="1" applyAlignment="1">
      <alignment horizontal="right" vertical="center" readingOrder="2"/>
      <protection/>
    </xf>
    <xf numFmtId="1" fontId="92" fillId="0" borderId="139" xfId="60" applyNumberFormat="1" applyFont="1" applyFill="1" applyBorder="1" applyAlignment="1">
      <alignment horizontal="center" vertical="center"/>
      <protection/>
    </xf>
    <xf numFmtId="1" fontId="92" fillId="0" borderId="139" xfId="60" applyNumberFormat="1" applyFont="1" applyFill="1" applyBorder="1" applyAlignment="1">
      <alignment horizontal="right" vertical="center" readingOrder="2"/>
      <protection/>
    </xf>
    <xf numFmtId="1" fontId="0" fillId="0" borderId="139" xfId="60" applyNumberFormat="1" applyFont="1" applyFill="1" applyBorder="1" applyAlignment="1">
      <alignment horizontal="right" vertical="center" readingOrder="2"/>
      <protection/>
    </xf>
    <xf numFmtId="1" fontId="92" fillId="0" borderId="0" xfId="60" applyNumberFormat="1" applyFont="1" applyFill="1" applyBorder="1" applyAlignment="1">
      <alignment horizontal="right" vertical="center"/>
      <protection/>
    </xf>
    <xf numFmtId="1" fontId="7" fillId="0" borderId="0" xfId="60" applyNumberFormat="1" applyFont="1" applyFill="1" applyBorder="1" applyAlignment="1">
      <alignment wrapText="1"/>
      <protection/>
    </xf>
    <xf numFmtId="0" fontId="7" fillId="0" borderId="0" xfId="60" applyNumberFormat="1" applyFont="1" applyFill="1" applyBorder="1" applyAlignment="1">
      <alignment wrapText="1"/>
      <protection/>
    </xf>
    <xf numFmtId="1" fontId="92" fillId="6" borderId="136" xfId="60" applyNumberFormat="1" applyFont="1" applyFill="1" applyBorder="1" applyAlignment="1">
      <alignment horizontal="center" vertical="center" textRotation="90"/>
      <protection/>
    </xf>
    <xf numFmtId="1" fontId="7" fillId="6" borderId="135" xfId="60" applyNumberFormat="1" applyFont="1" applyFill="1" applyBorder="1" applyAlignment="1">
      <alignment horizontal="right" vertical="center" readingOrder="2"/>
      <protection/>
    </xf>
    <xf numFmtId="1" fontId="7" fillId="6" borderId="109" xfId="60" applyNumberFormat="1" applyFont="1" applyFill="1" applyBorder="1" applyAlignment="1">
      <alignment horizontal="right" vertical="center" readingOrder="2"/>
      <protection/>
    </xf>
    <xf numFmtId="1" fontId="7" fillId="6" borderId="111" xfId="60" applyNumberFormat="1" applyFont="1" applyFill="1" applyBorder="1" applyAlignment="1">
      <alignment horizontal="right" vertical="center" readingOrder="2"/>
      <protection/>
    </xf>
    <xf numFmtId="1" fontId="7" fillId="6" borderId="106" xfId="60" applyNumberFormat="1" applyFont="1" applyFill="1" applyBorder="1" applyAlignment="1">
      <alignment horizontal="right" vertical="center" readingOrder="2"/>
      <protection/>
    </xf>
    <xf numFmtId="1" fontId="92" fillId="6" borderId="105" xfId="60" applyNumberFormat="1" applyFont="1" applyFill="1" applyBorder="1" applyAlignment="1">
      <alignment horizontal="center" vertical="center" textRotation="90"/>
      <protection/>
    </xf>
    <xf numFmtId="1" fontId="92" fillId="6" borderId="106" xfId="60" applyNumberFormat="1" applyFont="1" applyFill="1" applyBorder="1" applyAlignment="1">
      <alignment horizontal="center" vertical="center" textRotation="90"/>
      <protection/>
    </xf>
    <xf numFmtId="1" fontId="7" fillId="6" borderId="126" xfId="60" applyNumberFormat="1" applyFont="1" applyFill="1" applyBorder="1" applyAlignment="1">
      <alignment horizontal="right" vertical="center" readingOrder="2"/>
      <protection/>
    </xf>
    <xf numFmtId="1" fontId="7" fillId="6" borderId="133" xfId="60" applyNumberFormat="1" applyFont="1" applyFill="1" applyBorder="1" applyAlignment="1">
      <alignment horizontal="right" vertical="center" readingOrder="2"/>
      <protection/>
    </xf>
    <xf numFmtId="1" fontId="7" fillId="6" borderId="110" xfId="60" applyNumberFormat="1" applyFont="1" applyFill="1" applyBorder="1" applyAlignment="1">
      <alignment horizontal="right" vertical="center" readingOrder="2"/>
      <protection/>
    </xf>
    <xf numFmtId="1" fontId="7" fillId="6" borderId="112" xfId="60" applyNumberFormat="1" applyFont="1" applyFill="1" applyBorder="1" applyAlignment="1">
      <alignment horizontal="right" vertical="center" readingOrder="2"/>
      <protection/>
    </xf>
    <xf numFmtId="1" fontId="7" fillId="6" borderId="115" xfId="60" applyNumberFormat="1" applyFont="1" applyFill="1" applyBorder="1" applyAlignment="1">
      <alignment horizontal="right" vertical="center" readingOrder="2"/>
      <protection/>
    </xf>
    <xf numFmtId="1" fontId="7" fillId="6" borderId="132" xfId="60" applyNumberFormat="1" applyFont="1" applyFill="1" applyBorder="1" applyAlignment="1">
      <alignment horizontal="right" vertical="center" readingOrder="2"/>
      <protection/>
    </xf>
    <xf numFmtId="1" fontId="7" fillId="6" borderId="105" xfId="60" applyNumberFormat="1" applyFont="1" applyFill="1" applyBorder="1" applyAlignment="1">
      <alignment horizontal="right" vertical="center" readingOrder="2"/>
      <protection/>
    </xf>
    <xf numFmtId="0" fontId="92" fillId="0" borderId="0" xfId="60" applyFont="1" applyFill="1" applyAlignment="1">
      <alignment horizontal="center" vertical="center" readingOrder="2"/>
      <protection/>
    </xf>
    <xf numFmtId="0" fontId="160" fillId="0" borderId="0" xfId="0" applyFont="1" applyAlignment="1">
      <alignment horizontal="center" vertical="center"/>
    </xf>
    <xf numFmtId="10" fontId="160" fillId="0" borderId="0" xfId="0" applyNumberFormat="1" applyFont="1" applyAlignment="1">
      <alignment horizontal="center" vertical="center"/>
    </xf>
    <xf numFmtId="1" fontId="160" fillId="0" borderId="0" xfId="0" applyNumberFormat="1" applyFont="1" applyAlignment="1">
      <alignment horizontal="center" vertical="center"/>
    </xf>
    <xf numFmtId="0" fontId="161" fillId="0" borderId="0" xfId="0" applyFont="1" applyAlignment="1">
      <alignment/>
    </xf>
    <xf numFmtId="0" fontId="87" fillId="0" borderId="0" xfId="0" applyFont="1" applyFill="1" applyAlignment="1">
      <alignment horizontal="right" readingOrder="2"/>
    </xf>
    <xf numFmtId="49" fontId="86" fillId="0" borderId="0" xfId="0" applyNumberFormat="1" applyFont="1" applyFill="1" applyAlignment="1">
      <alignment horizontal="center" readingOrder="2"/>
    </xf>
    <xf numFmtId="1" fontId="89" fillId="0" borderId="0" xfId="0" applyNumberFormat="1" applyFont="1" applyFill="1" applyAlignment="1">
      <alignment horizontal="center" vertical="center"/>
    </xf>
    <xf numFmtId="1" fontId="90" fillId="0" borderId="0" xfId="0" applyNumberFormat="1" applyFont="1" applyFill="1" applyAlignment="1">
      <alignment horizontal="center" vertical="center"/>
    </xf>
    <xf numFmtId="0" fontId="0" fillId="0" borderId="139" xfId="0" applyFont="1" applyFill="1" applyBorder="1" applyAlignment="1">
      <alignment horizontal="right" vertical="center" wrapText="1"/>
    </xf>
    <xf numFmtId="0" fontId="0" fillId="0" borderId="139" xfId="0" applyFont="1" applyFill="1" applyBorder="1" applyAlignment="1">
      <alignment/>
    </xf>
    <xf numFmtId="0" fontId="0" fillId="0" borderId="0" xfId="0" applyFont="1" applyFill="1" applyAlignment="1">
      <alignment/>
    </xf>
    <xf numFmtId="0" fontId="87" fillId="0" borderId="137" xfId="0" applyFont="1" applyFill="1" applyBorder="1" applyAlignment="1">
      <alignment horizontal="center" vertical="center" textRotation="90"/>
    </xf>
    <xf numFmtId="0" fontId="87" fillId="0" borderId="148" xfId="0" applyFont="1" applyFill="1" applyBorder="1" applyAlignment="1">
      <alignment horizontal="center" vertical="center" textRotation="90"/>
    </xf>
    <xf numFmtId="0" fontId="87" fillId="0" borderId="125" xfId="0" applyFont="1" applyFill="1" applyBorder="1" applyAlignment="1">
      <alignment horizontal="center" vertical="center" textRotation="90"/>
    </xf>
    <xf numFmtId="0" fontId="87" fillId="0" borderId="113" xfId="0" applyFont="1" applyFill="1" applyBorder="1" applyAlignment="1">
      <alignment horizontal="center" vertical="center" textRotation="90"/>
    </xf>
    <xf numFmtId="0" fontId="87" fillId="0" borderId="117" xfId="0" applyFont="1" applyFill="1" applyBorder="1" applyAlignment="1">
      <alignment horizontal="center" vertical="center" textRotation="90"/>
    </xf>
    <xf numFmtId="0" fontId="87" fillId="0" borderId="138" xfId="0" applyFont="1" applyFill="1" applyBorder="1" applyAlignment="1">
      <alignment horizontal="center" vertical="center" textRotation="90"/>
    </xf>
    <xf numFmtId="0" fontId="87" fillId="0" borderId="130" xfId="0" applyFont="1" applyFill="1" applyBorder="1" applyAlignment="1">
      <alignment horizontal="center" vertical="center"/>
    </xf>
    <xf numFmtId="0" fontId="87" fillId="0" borderId="129" xfId="0" applyFont="1" applyFill="1" applyBorder="1" applyAlignment="1">
      <alignment horizontal="center" vertical="center"/>
    </xf>
    <xf numFmtId="0" fontId="87" fillId="0" borderId="131" xfId="0" applyFont="1" applyFill="1" applyBorder="1" applyAlignment="1">
      <alignment horizontal="center" vertical="center"/>
    </xf>
    <xf numFmtId="0" fontId="87" fillId="0" borderId="137" xfId="0" applyFont="1" applyFill="1" applyBorder="1" applyAlignment="1">
      <alignment horizontal="center" vertical="center" textRotation="90" wrapText="1"/>
    </xf>
    <xf numFmtId="0" fontId="87" fillId="0" borderId="148" xfId="0" applyFont="1" applyFill="1" applyBorder="1" applyAlignment="1">
      <alignment horizontal="center" vertical="center" textRotation="90" wrapText="1"/>
    </xf>
    <xf numFmtId="0" fontId="87" fillId="0" borderId="125" xfId="0" applyFont="1" applyFill="1" applyBorder="1" applyAlignment="1">
      <alignment horizontal="center" vertical="center" textRotation="90" wrapText="1"/>
    </xf>
    <xf numFmtId="0" fontId="87" fillId="0" borderId="113" xfId="0" applyFont="1" applyFill="1" applyBorder="1" applyAlignment="1">
      <alignment horizontal="center" vertical="center" textRotation="90" wrapText="1"/>
    </xf>
    <xf numFmtId="0" fontId="87" fillId="0" borderId="117" xfId="0" applyFont="1" applyFill="1" applyBorder="1" applyAlignment="1">
      <alignment horizontal="center" vertical="center" textRotation="90" wrapText="1"/>
    </xf>
    <xf numFmtId="0" fontId="87" fillId="0" borderId="138" xfId="0" applyFont="1" applyFill="1" applyBorder="1" applyAlignment="1">
      <alignment horizontal="center" vertical="center" textRotation="90" wrapText="1"/>
    </xf>
    <xf numFmtId="0" fontId="87" fillId="0" borderId="117" xfId="0" applyFont="1" applyFill="1" applyBorder="1" applyAlignment="1">
      <alignment horizontal="center" vertical="center"/>
    </xf>
    <xf numFmtId="0" fontId="87" fillId="0" borderId="140" xfId="0" applyFont="1" applyFill="1" applyBorder="1" applyAlignment="1">
      <alignment horizontal="center" vertical="center"/>
    </xf>
    <xf numFmtId="0" fontId="87" fillId="0" borderId="138" xfId="0" applyFont="1" applyFill="1" applyBorder="1" applyAlignment="1">
      <alignment horizontal="center" vertical="center"/>
    </xf>
    <xf numFmtId="0" fontId="87" fillId="0" borderId="107" xfId="0" applyFont="1" applyFill="1" applyBorder="1" applyAlignment="1">
      <alignment horizontal="center" vertical="center" wrapText="1"/>
    </xf>
    <xf numFmtId="0" fontId="87" fillId="0" borderId="116" xfId="0" applyFont="1" applyFill="1" applyBorder="1" applyAlignment="1">
      <alignment horizontal="center" vertical="center" wrapText="1"/>
    </xf>
    <xf numFmtId="0" fontId="87" fillId="0" borderId="107" xfId="0" applyFont="1" applyFill="1" applyBorder="1" applyAlignment="1">
      <alignment horizontal="center" vertical="center"/>
    </xf>
    <xf numFmtId="0" fontId="87" fillId="0" borderId="116" xfId="0" applyFont="1" applyFill="1" applyBorder="1" applyAlignment="1">
      <alignment horizontal="center" vertical="center"/>
    </xf>
    <xf numFmtId="0" fontId="86" fillId="0" borderId="0" xfId="0" applyFont="1" applyFill="1" applyAlignment="1">
      <alignment horizontal="center"/>
    </xf>
    <xf numFmtId="0" fontId="8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91" fillId="0" borderId="140" xfId="0" applyFont="1" applyFill="1" applyBorder="1" applyAlignment="1">
      <alignment horizontal="center"/>
    </xf>
    <xf numFmtId="0" fontId="87" fillId="0" borderId="133" xfId="0" applyFont="1" applyFill="1" applyBorder="1" applyAlignment="1">
      <alignment horizontal="center" vertical="center"/>
    </xf>
    <xf numFmtId="0" fontId="87" fillId="0" borderId="132" xfId="0" applyFont="1" applyFill="1" applyBorder="1" applyAlignment="1">
      <alignment horizontal="center" vertical="center"/>
    </xf>
    <xf numFmtId="0" fontId="87" fillId="0" borderId="134" xfId="0" applyFont="1" applyFill="1" applyBorder="1" applyAlignment="1">
      <alignment horizontal="center" vertical="center"/>
    </xf>
    <xf numFmtId="0" fontId="87" fillId="0" borderId="126" xfId="0" applyFont="1" applyFill="1" applyBorder="1" applyAlignment="1">
      <alignment horizontal="center" vertical="center"/>
    </xf>
    <xf numFmtId="0" fontId="87" fillId="0" borderId="149" xfId="0" applyFont="1" applyFill="1" applyBorder="1" applyAlignment="1">
      <alignment horizontal="center" vertical="center" wrapText="1"/>
    </xf>
    <xf numFmtId="0" fontId="87" fillId="0" borderId="150" xfId="0" applyFont="1" applyFill="1" applyBorder="1" applyAlignment="1">
      <alignment horizontal="center" vertical="center" wrapText="1"/>
    </xf>
    <xf numFmtId="0" fontId="87" fillId="0" borderId="135" xfId="0" applyFont="1" applyFill="1" applyBorder="1" applyAlignment="1">
      <alignment horizontal="center" vertical="center"/>
    </xf>
    <xf numFmtId="0" fontId="88" fillId="0" borderId="0" xfId="0" applyFont="1" applyFill="1" applyAlignment="1">
      <alignment horizontal="center" vertical="center" readingOrder="2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95" fillId="0" borderId="106" xfId="0" applyFont="1" applyBorder="1" applyAlignment="1">
      <alignment horizontal="center" vertical="center"/>
    </xf>
    <xf numFmtId="0" fontId="87" fillId="0" borderId="151" xfId="0" applyFont="1" applyFill="1" applyBorder="1" applyAlignment="1">
      <alignment horizontal="center" vertical="center"/>
    </xf>
    <xf numFmtId="0" fontId="87" fillId="0" borderId="152" xfId="0" applyFont="1" applyFill="1" applyBorder="1" applyAlignment="1">
      <alignment horizontal="center" vertical="center"/>
    </xf>
    <xf numFmtId="0" fontId="87" fillId="0" borderId="153" xfId="0" applyFont="1" applyFill="1" applyBorder="1" applyAlignment="1">
      <alignment horizontal="center" vertical="center"/>
    </xf>
    <xf numFmtId="0" fontId="87" fillId="0" borderId="154" xfId="0" applyFont="1" applyFill="1" applyBorder="1" applyAlignment="1">
      <alignment horizontal="center" vertical="center"/>
    </xf>
    <xf numFmtId="0" fontId="87" fillId="0" borderId="155" xfId="0" applyFont="1" applyFill="1" applyBorder="1" applyAlignment="1">
      <alignment horizontal="center" vertical="center"/>
    </xf>
    <xf numFmtId="0" fontId="87" fillId="0" borderId="156" xfId="0" applyFont="1" applyFill="1" applyBorder="1" applyAlignment="1">
      <alignment horizontal="center" vertical="center"/>
    </xf>
    <xf numFmtId="0" fontId="87" fillId="0" borderId="137" xfId="0" applyFont="1" applyFill="1" applyBorder="1" applyAlignment="1">
      <alignment horizontal="center" vertical="center" wrapText="1"/>
    </xf>
    <xf numFmtId="0" fontId="87" fillId="0" borderId="142" xfId="0" applyFont="1" applyFill="1" applyBorder="1" applyAlignment="1">
      <alignment horizontal="center" vertical="center" wrapText="1"/>
    </xf>
    <xf numFmtId="0" fontId="87" fillId="0" borderId="125" xfId="0" applyFont="1" applyFill="1" applyBorder="1" applyAlignment="1">
      <alignment horizontal="center" vertical="center" wrapText="1"/>
    </xf>
    <xf numFmtId="0" fontId="87" fillId="0" borderId="127" xfId="0" applyFont="1" applyFill="1" applyBorder="1" applyAlignment="1">
      <alignment horizontal="center" vertical="center" wrapText="1"/>
    </xf>
    <xf numFmtId="0" fontId="87" fillId="0" borderId="117" xfId="0" applyFont="1" applyFill="1" applyBorder="1" applyAlignment="1">
      <alignment horizontal="center" vertical="center" wrapText="1"/>
    </xf>
    <xf numFmtId="0" fontId="87" fillId="0" borderId="143" xfId="0" applyFont="1" applyFill="1" applyBorder="1" applyAlignment="1">
      <alignment horizontal="center" vertical="center" wrapText="1"/>
    </xf>
    <xf numFmtId="0" fontId="95" fillId="0" borderId="118" xfId="0" applyFont="1" applyBorder="1" applyAlignment="1">
      <alignment horizontal="center" vertical="center"/>
    </xf>
    <xf numFmtId="0" fontId="88" fillId="0" borderId="119" xfId="0" applyFont="1" applyFill="1" applyBorder="1" applyAlignment="1">
      <alignment horizontal="center" vertical="center"/>
    </xf>
    <xf numFmtId="0" fontId="88" fillId="0" borderId="121" xfId="0" applyFont="1" applyFill="1" applyBorder="1" applyAlignment="1">
      <alignment horizontal="center" vertical="center"/>
    </xf>
    <xf numFmtId="0" fontId="88" fillId="0" borderId="141" xfId="0" applyFont="1" applyFill="1" applyBorder="1" applyAlignment="1">
      <alignment horizontal="center" vertical="center"/>
    </xf>
    <xf numFmtId="0" fontId="87" fillId="0" borderId="111" xfId="0" applyFont="1" applyFill="1" applyBorder="1" applyAlignment="1">
      <alignment horizontal="center" vertical="center" wrapText="1"/>
    </xf>
    <xf numFmtId="0" fontId="87" fillId="0" borderId="136" xfId="0" applyFont="1" applyFill="1" applyBorder="1" applyAlignment="1">
      <alignment horizontal="center" vertical="center" wrapText="1"/>
    </xf>
    <xf numFmtId="0" fontId="87" fillId="0" borderId="126" xfId="0" applyFont="1" applyFill="1" applyBorder="1" applyAlignment="1">
      <alignment horizontal="center" vertical="center" wrapText="1" readingOrder="2"/>
    </xf>
    <xf numFmtId="0" fontId="87" fillId="0" borderId="115" xfId="0" applyFont="1" applyFill="1" applyBorder="1" applyAlignment="1">
      <alignment horizontal="center" vertical="center" wrapText="1" readingOrder="2"/>
    </xf>
    <xf numFmtId="0" fontId="91" fillId="0" borderId="107" xfId="0" applyFont="1" applyFill="1" applyBorder="1" applyAlignment="1">
      <alignment horizontal="center" vertical="center"/>
    </xf>
    <xf numFmtId="0" fontId="91" fillId="0" borderId="116" xfId="0" applyFont="1" applyFill="1" applyBorder="1" applyAlignment="1">
      <alignment horizontal="center" vertical="center"/>
    </xf>
    <xf numFmtId="0" fontId="95" fillId="0" borderId="104" xfId="0" applyFont="1" applyFill="1" applyBorder="1" applyAlignment="1">
      <alignment horizontal="center" vertical="center"/>
    </xf>
    <xf numFmtId="0" fontId="95" fillId="0" borderId="105" xfId="0" applyFont="1" applyFill="1" applyBorder="1" applyAlignment="1">
      <alignment horizontal="center" vertical="center"/>
    </xf>
    <xf numFmtId="0" fontId="95" fillId="0" borderId="106" xfId="0" applyFont="1" applyFill="1" applyBorder="1" applyAlignment="1">
      <alignment horizontal="center" vertical="center"/>
    </xf>
    <xf numFmtId="0" fontId="87" fillId="0" borderId="151" xfId="0" applyFont="1" applyFill="1" applyBorder="1" applyAlignment="1">
      <alignment horizontal="center" vertical="center" wrapText="1"/>
    </xf>
    <xf numFmtId="0" fontId="87" fillId="0" borderId="152" xfId="0" applyFont="1" applyFill="1" applyBorder="1" applyAlignment="1">
      <alignment horizontal="center" vertical="center" wrapText="1"/>
    </xf>
    <xf numFmtId="0" fontId="87" fillId="0" borderId="153" xfId="0" applyFont="1" applyFill="1" applyBorder="1" applyAlignment="1">
      <alignment horizontal="center" vertical="center" wrapText="1"/>
    </xf>
    <xf numFmtId="0" fontId="87" fillId="0" borderId="154" xfId="0" applyFont="1" applyFill="1" applyBorder="1" applyAlignment="1">
      <alignment horizontal="center" vertical="center" wrapText="1"/>
    </xf>
    <xf numFmtId="0" fontId="87" fillId="0" borderId="155" xfId="0" applyFont="1" applyFill="1" applyBorder="1" applyAlignment="1">
      <alignment horizontal="center" vertical="center" wrapText="1"/>
    </xf>
    <xf numFmtId="0" fontId="87" fillId="0" borderId="156" xfId="0" applyFont="1" applyFill="1" applyBorder="1" applyAlignment="1">
      <alignment horizontal="center" vertical="center" wrapText="1"/>
    </xf>
    <xf numFmtId="173" fontId="103" fillId="0" borderId="125" xfId="0" applyNumberFormat="1" applyFont="1" applyBorder="1" applyAlignment="1">
      <alignment horizontal="center" vertical="center"/>
    </xf>
    <xf numFmtId="173" fontId="103" fillId="0" borderId="0" xfId="0" applyNumberFormat="1" applyFont="1" applyAlignment="1">
      <alignment horizontal="center" vertical="center"/>
    </xf>
    <xf numFmtId="0" fontId="86" fillId="0" borderId="0" xfId="0" applyFont="1" applyFill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87" fillId="0" borderId="114" xfId="0" applyFont="1" applyFill="1" applyBorder="1" applyAlignment="1">
      <alignment horizontal="center" vertical="center"/>
    </xf>
    <xf numFmtId="0" fontId="87" fillId="0" borderId="136" xfId="0" applyFont="1" applyFill="1" applyBorder="1" applyAlignment="1">
      <alignment horizontal="center" vertical="center"/>
    </xf>
    <xf numFmtId="0" fontId="87" fillId="0" borderId="134" xfId="0" applyFont="1" applyFill="1" applyBorder="1" applyAlignment="1">
      <alignment horizontal="center" vertical="center" wrapText="1"/>
    </xf>
    <xf numFmtId="0" fontId="87" fillId="0" borderId="114" xfId="0" applyFont="1" applyFill="1" applyBorder="1" applyAlignment="1">
      <alignment horizontal="center" vertical="center" wrapText="1"/>
    </xf>
    <xf numFmtId="0" fontId="87" fillId="0" borderId="110" xfId="0" applyFont="1" applyFill="1" applyBorder="1" applyAlignment="1">
      <alignment horizontal="center" vertical="center" wrapText="1"/>
    </xf>
    <xf numFmtId="0" fontId="87" fillId="0" borderId="115" xfId="0" applyFont="1" applyFill="1" applyBorder="1" applyAlignment="1">
      <alignment horizontal="center" vertical="center" wrapText="1"/>
    </xf>
    <xf numFmtId="0" fontId="0" fillId="0" borderId="126" xfId="0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right" vertical="center"/>
    </xf>
    <xf numFmtId="0" fontId="98" fillId="0" borderId="0" xfId="61" applyFont="1" applyFill="1" applyAlignment="1">
      <alignment horizontal="center"/>
      <protection/>
    </xf>
    <xf numFmtId="0" fontId="90" fillId="0" borderId="0" xfId="0" applyFont="1" applyFill="1" applyAlignment="1">
      <alignment horizontal="center" vertical="center"/>
    </xf>
    <xf numFmtId="1" fontId="88" fillId="0" borderId="107" xfId="60" applyNumberFormat="1" applyFont="1" applyFill="1" applyBorder="1" applyAlignment="1" applyProtection="1">
      <alignment horizontal="center" vertical="center"/>
      <protection/>
    </xf>
    <xf numFmtId="1" fontId="88" fillId="0" borderId="116" xfId="60" applyNumberFormat="1" applyFont="1" applyFill="1" applyBorder="1" applyAlignment="1" applyProtection="1">
      <alignment horizontal="center" vertical="center"/>
      <protection/>
    </xf>
    <xf numFmtId="1" fontId="88" fillId="0" borderId="128" xfId="60" applyNumberFormat="1" applyFont="1" applyFill="1" applyBorder="1" applyAlignment="1">
      <alignment horizontal="center" vertical="center" wrapText="1"/>
      <protection/>
    </xf>
    <xf numFmtId="1" fontId="88" fillId="0" borderId="105" xfId="60" applyNumberFormat="1" applyFont="1" applyFill="1" applyBorder="1" applyAlignment="1">
      <alignment horizontal="center" vertical="center" wrapText="1"/>
      <protection/>
    </xf>
    <xf numFmtId="1" fontId="88" fillId="0" borderId="118" xfId="60" applyNumberFormat="1" applyFont="1" applyFill="1" applyBorder="1" applyAlignment="1">
      <alignment horizontal="center" vertical="center" wrapText="1"/>
      <protection/>
    </xf>
    <xf numFmtId="1" fontId="88" fillId="0" borderId="128" xfId="60" applyNumberFormat="1" applyFont="1" applyFill="1" applyBorder="1" applyAlignment="1">
      <alignment horizontal="center" vertical="center"/>
      <protection/>
    </xf>
    <xf numFmtId="1" fontId="88" fillId="0" borderId="106" xfId="60" applyNumberFormat="1" applyFont="1" applyFill="1" applyBorder="1" applyAlignment="1">
      <alignment horizontal="center" vertical="center"/>
      <protection/>
    </xf>
    <xf numFmtId="1" fontId="88" fillId="0" borderId="148" xfId="60" applyNumberFormat="1" applyFont="1" applyFill="1" applyBorder="1" applyAlignment="1">
      <alignment horizontal="center" vertical="center"/>
      <protection/>
    </xf>
    <xf numFmtId="1" fontId="88" fillId="0" borderId="138" xfId="60" applyNumberFormat="1" applyFont="1" applyFill="1" applyBorder="1" applyAlignment="1">
      <alignment horizontal="center" vertical="center"/>
      <protection/>
    </xf>
    <xf numFmtId="0" fontId="0" fillId="0" borderId="126" xfId="61" applyFont="1" applyFill="1" applyBorder="1" applyAlignment="1">
      <alignment horizontal="center" vertical="center" textRotation="90"/>
      <protection/>
    </xf>
    <xf numFmtId="0" fontId="0" fillId="0" borderId="115" xfId="61" applyFont="1" applyFill="1" applyBorder="1" applyAlignment="1">
      <alignment horizontal="center" vertical="center" textRotation="90"/>
      <protection/>
    </xf>
    <xf numFmtId="0" fontId="98" fillId="0" borderId="0" xfId="61" applyFont="1" applyFill="1" applyAlignment="1">
      <alignment horizontal="center" vertical="center"/>
      <protection/>
    </xf>
    <xf numFmtId="0" fontId="97" fillId="0" borderId="0" xfId="61" applyFont="1" applyFill="1" applyBorder="1" applyAlignment="1">
      <alignment horizontal="center" vertical="center"/>
      <protection/>
    </xf>
    <xf numFmtId="0" fontId="0" fillId="0" borderId="140" xfId="61" applyFont="1" applyFill="1" applyBorder="1" applyAlignment="1">
      <alignment horizontal="center" vertical="center"/>
      <protection/>
    </xf>
    <xf numFmtId="0" fontId="0" fillId="0" borderId="107" xfId="61" applyFont="1" applyFill="1" applyBorder="1" applyAlignment="1">
      <alignment horizontal="center" vertical="center"/>
      <protection/>
    </xf>
    <xf numFmtId="0" fontId="0" fillId="0" borderId="108" xfId="61" applyFont="1" applyFill="1" applyBorder="1" applyAlignment="1">
      <alignment horizontal="center" vertical="center"/>
      <protection/>
    </xf>
    <xf numFmtId="0" fontId="0" fillId="0" borderId="116" xfId="61" applyFont="1" applyFill="1" applyBorder="1" applyAlignment="1">
      <alignment horizontal="center" vertical="center"/>
      <protection/>
    </xf>
    <xf numFmtId="0" fontId="0" fillId="0" borderId="130" xfId="61" applyFont="1" applyFill="1" applyBorder="1" applyAlignment="1">
      <alignment horizontal="center" vertical="center"/>
      <protection/>
    </xf>
    <xf numFmtId="0" fontId="0" fillId="0" borderId="129" xfId="61" applyFont="1" applyFill="1" applyBorder="1" applyAlignment="1">
      <alignment horizontal="center" vertical="center"/>
      <protection/>
    </xf>
    <xf numFmtId="0" fontId="0" fillId="0" borderId="130" xfId="61" applyFont="1" applyFill="1" applyBorder="1" applyAlignment="1">
      <alignment horizontal="center" vertical="center" shrinkToFit="1" readingOrder="2"/>
      <protection/>
    </xf>
    <xf numFmtId="0" fontId="0" fillId="0" borderId="131" xfId="61" applyFont="1" applyFill="1" applyBorder="1" applyAlignment="1">
      <alignment horizontal="center" vertical="center" shrinkToFit="1" readingOrder="2"/>
      <protection/>
    </xf>
    <xf numFmtId="0" fontId="0" fillId="0" borderId="107" xfId="61" applyFont="1" applyFill="1" applyBorder="1" applyAlignment="1">
      <alignment horizontal="center" vertical="center" wrapText="1"/>
      <protection/>
    </xf>
    <xf numFmtId="0" fontId="0" fillId="0" borderId="108" xfId="61" applyFont="1" applyFill="1" applyBorder="1" applyAlignment="1">
      <alignment horizontal="center" vertical="center" wrapText="1"/>
      <protection/>
    </xf>
    <xf numFmtId="0" fontId="0" fillId="0" borderId="116" xfId="61" applyFont="1" applyFill="1" applyBorder="1" applyAlignment="1">
      <alignment horizontal="center" vertical="center" wrapText="1"/>
      <protection/>
    </xf>
    <xf numFmtId="0" fontId="0" fillId="0" borderId="134" xfId="61" applyFont="1" applyFill="1" applyBorder="1" applyAlignment="1">
      <alignment horizontal="center" vertical="center" textRotation="90"/>
      <protection/>
    </xf>
    <xf numFmtId="0" fontId="0" fillId="0" borderId="114" xfId="57" applyFont="1" applyBorder="1" applyAlignment="1">
      <alignment horizontal="center" vertical="center" textRotation="90"/>
      <protection/>
    </xf>
    <xf numFmtId="0" fontId="0" fillId="0" borderId="115" xfId="57" applyFont="1" applyBorder="1" applyAlignment="1">
      <alignment horizontal="center" vertical="center" textRotation="90"/>
      <protection/>
    </xf>
    <xf numFmtId="0" fontId="0" fillId="0" borderId="135" xfId="61" applyFont="1" applyFill="1" applyBorder="1" applyAlignment="1">
      <alignment horizontal="center" vertical="center" textRotation="90" wrapText="1"/>
      <protection/>
    </xf>
    <xf numFmtId="0" fontId="0" fillId="0" borderId="136" xfId="57" applyFont="1" applyBorder="1">
      <alignment/>
      <protection/>
    </xf>
    <xf numFmtId="0" fontId="0" fillId="0" borderId="149" xfId="61" applyFont="1" applyFill="1" applyBorder="1" applyAlignment="1">
      <alignment horizontal="center" vertical="center" shrinkToFit="1" readingOrder="2"/>
      <protection/>
    </xf>
    <xf numFmtId="0" fontId="0" fillId="0" borderId="150" xfId="57" applyFont="1" applyBorder="1" applyAlignment="1">
      <alignment horizontal="center"/>
      <protection/>
    </xf>
    <xf numFmtId="0" fontId="0" fillId="0" borderId="114" xfId="61" applyFont="1" applyFill="1" applyBorder="1" applyAlignment="1">
      <alignment horizontal="center" vertical="center" textRotation="90"/>
      <protection/>
    </xf>
    <xf numFmtId="0" fontId="0" fillId="0" borderId="133" xfId="61" applyFont="1" applyFill="1" applyBorder="1" applyAlignment="1">
      <alignment horizontal="center" vertical="center" textRotation="90"/>
      <protection/>
    </xf>
    <xf numFmtId="0" fontId="0" fillId="0" borderId="132" xfId="61" applyFont="1" applyFill="1" applyBorder="1" applyAlignment="1">
      <alignment horizontal="center" vertical="center" textRotation="90"/>
      <protection/>
    </xf>
    <xf numFmtId="0" fontId="0" fillId="0" borderId="136" xfId="57" applyFont="1" applyBorder="1" applyAlignment="1">
      <alignment horizontal="center" vertical="center" textRotation="90" wrapText="1"/>
      <protection/>
    </xf>
    <xf numFmtId="0" fontId="4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 vertical="center"/>
    </xf>
    <xf numFmtId="0" fontId="7" fillId="0" borderId="14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1" fontId="7" fillId="0" borderId="128" xfId="60" applyNumberFormat="1" applyFont="1" applyFill="1" applyBorder="1" applyAlignment="1">
      <alignment horizontal="center" vertical="center"/>
      <protection/>
    </xf>
    <xf numFmtId="1" fontId="7" fillId="0" borderId="105" xfId="60" applyNumberFormat="1" applyFont="1" applyFill="1" applyBorder="1" applyAlignment="1">
      <alignment horizontal="center" vertical="center"/>
      <protection/>
    </xf>
    <xf numFmtId="1" fontId="7" fillId="0" borderId="118" xfId="60" applyNumberFormat="1" applyFont="1" applyFill="1" applyBorder="1" applyAlignment="1">
      <alignment horizontal="center" vertical="center"/>
      <protection/>
    </xf>
    <xf numFmtId="1" fontId="7" fillId="0" borderId="107" xfId="60" applyNumberFormat="1" applyFont="1" applyFill="1" applyBorder="1" applyAlignment="1">
      <alignment horizontal="center" vertical="center"/>
      <protection/>
    </xf>
    <xf numFmtId="1" fontId="7" fillId="0" borderId="116" xfId="60" applyNumberFormat="1" applyFont="1" applyFill="1" applyBorder="1" applyAlignment="1">
      <alignment horizontal="center" vertical="center"/>
      <protection/>
    </xf>
    <xf numFmtId="1" fontId="92" fillId="0" borderId="0" xfId="60" applyNumberFormat="1" applyFont="1" applyFill="1" applyBorder="1" applyAlignment="1">
      <alignment horizontal="right" vertical="center" readingOrder="1"/>
      <protection/>
    </xf>
    <xf numFmtId="0" fontId="4" fillId="0" borderId="0" xfId="60" applyFont="1" applyFill="1" applyAlignment="1">
      <alignment horizontal="center"/>
      <protection/>
    </xf>
    <xf numFmtId="0" fontId="92" fillId="0" borderId="0" xfId="60" applyFont="1" applyFill="1" applyAlignment="1">
      <alignment horizontal="center" vertical="center" readingOrder="2"/>
      <protection/>
    </xf>
    <xf numFmtId="1" fontId="107" fillId="0" borderId="0" xfId="60" applyNumberFormat="1" applyFont="1" applyFill="1" applyAlignment="1">
      <alignment horizontal="center" vertical="center"/>
      <protection/>
    </xf>
    <xf numFmtId="1" fontId="97" fillId="0" borderId="0" xfId="60" applyNumberFormat="1" applyFont="1" applyFill="1" applyAlignment="1">
      <alignment horizontal="center" vertical="center"/>
      <protection/>
    </xf>
    <xf numFmtId="1" fontId="92" fillId="0" borderId="0" xfId="60" applyNumberFormat="1" applyFont="1" applyFill="1" applyAlignment="1">
      <alignment horizontal="center" vertical="center"/>
      <protection/>
    </xf>
    <xf numFmtId="1" fontId="7" fillId="0" borderId="107" xfId="60" applyNumberFormat="1" applyFont="1" applyFill="1" applyBorder="1" applyAlignment="1" applyProtection="1">
      <alignment horizontal="center" vertical="center"/>
      <protection/>
    </xf>
    <xf numFmtId="1" fontId="7" fillId="0" borderId="116" xfId="60" applyNumberFormat="1" applyFont="1" applyFill="1" applyBorder="1" applyAlignment="1" applyProtection="1">
      <alignment horizontal="center" vertical="center"/>
      <protection/>
    </xf>
    <xf numFmtId="1" fontId="7" fillId="0" borderId="104" xfId="60" applyNumberFormat="1" applyFont="1" applyFill="1" applyBorder="1" applyAlignment="1">
      <alignment horizontal="center" vertical="center"/>
      <protection/>
    </xf>
    <xf numFmtId="1" fontId="7" fillId="0" borderId="106" xfId="60" applyNumberFormat="1" applyFont="1" applyFill="1" applyBorder="1" applyAlignment="1">
      <alignment horizontal="center" vertical="center"/>
      <protection/>
    </xf>
    <xf numFmtId="1" fontId="0" fillId="0" borderId="130" xfId="60" applyNumberFormat="1" applyFont="1" applyFill="1" applyBorder="1" applyAlignment="1">
      <alignment horizontal="center" vertical="center" wrapText="1"/>
      <protection/>
    </xf>
    <xf numFmtId="1" fontId="0" fillId="0" borderId="131" xfId="60" applyNumberFormat="1" applyFont="1" applyFill="1" applyBorder="1" applyAlignment="1">
      <alignment horizontal="center" vertical="center" wrapText="1"/>
      <protection/>
    </xf>
    <xf numFmtId="1" fontId="7" fillId="0" borderId="130" xfId="60" applyNumberFormat="1" applyFont="1" applyFill="1" applyBorder="1" applyAlignment="1">
      <alignment horizontal="center" vertical="center"/>
      <protection/>
    </xf>
    <xf numFmtId="1" fontId="7" fillId="0" borderId="129" xfId="60" applyNumberFormat="1" applyFont="1" applyFill="1" applyBorder="1" applyAlignment="1">
      <alignment horizontal="center" vertical="center"/>
      <protection/>
    </xf>
    <xf numFmtId="1" fontId="7" fillId="0" borderId="131" xfId="60" applyNumberFormat="1" applyFont="1" applyFill="1" applyBorder="1" applyAlignment="1">
      <alignment horizontal="center" vertical="center"/>
      <protection/>
    </xf>
    <xf numFmtId="0" fontId="4" fillId="0" borderId="0" xfId="59" applyFont="1" applyAlignment="1">
      <alignment horizontal="center"/>
      <protection/>
    </xf>
    <xf numFmtId="0" fontId="98" fillId="0" borderId="0" xfId="59" applyFont="1" applyAlignment="1">
      <alignment horizontal="center" vertical="center"/>
      <protection/>
    </xf>
    <xf numFmtId="0" fontId="98" fillId="0" borderId="0" xfId="59" applyFont="1" applyBorder="1" applyAlignment="1">
      <alignment horizontal="center" vertical="center"/>
      <protection/>
    </xf>
    <xf numFmtId="0" fontId="7" fillId="0" borderId="157" xfId="59" applyFont="1" applyBorder="1" applyAlignment="1">
      <alignment horizontal="center" vertical="center"/>
      <protection/>
    </xf>
    <xf numFmtId="0" fontId="7" fillId="0" borderId="158" xfId="59" applyFont="1" applyBorder="1" applyAlignment="1">
      <alignment horizontal="center" vertical="center"/>
      <protection/>
    </xf>
    <xf numFmtId="0" fontId="7" fillId="0" borderId="159" xfId="59" applyFont="1" applyBorder="1" applyAlignment="1">
      <alignment horizontal="center" vertical="center"/>
      <protection/>
    </xf>
    <xf numFmtId="0" fontId="7" fillId="0" borderId="160" xfId="59" applyFont="1" applyBorder="1" applyAlignment="1">
      <alignment horizontal="center" vertical="center"/>
      <protection/>
    </xf>
    <xf numFmtId="0" fontId="7" fillId="0" borderId="161" xfId="59" applyFont="1" applyBorder="1" applyAlignment="1">
      <alignment horizontal="center" vertical="center"/>
      <protection/>
    </xf>
    <xf numFmtId="0" fontId="7" fillId="0" borderId="162" xfId="59" applyFont="1" applyBorder="1" applyAlignment="1">
      <alignment horizontal="center" vertical="center"/>
      <protection/>
    </xf>
    <xf numFmtId="0" fontId="7" fillId="0" borderId="154" xfId="59" applyFont="1" applyBorder="1" applyAlignment="1">
      <alignment horizontal="center" vertical="center"/>
      <protection/>
    </xf>
    <xf numFmtId="0" fontId="7" fillId="0" borderId="162" xfId="59" applyFont="1" applyBorder="1" applyAlignment="1">
      <alignment horizontal="center" vertical="center" wrapText="1"/>
      <protection/>
    </xf>
    <xf numFmtId="0" fontId="7" fillId="0" borderId="154" xfId="59" applyFont="1" applyBorder="1" applyAlignment="1">
      <alignment horizontal="center" vertical="center" wrapText="1"/>
      <protection/>
    </xf>
    <xf numFmtId="0" fontId="7" fillId="0" borderId="163" xfId="59" applyFont="1" applyBorder="1" applyAlignment="1">
      <alignment horizontal="center" vertical="center" wrapText="1"/>
      <protection/>
    </xf>
    <xf numFmtId="0" fontId="7" fillId="0" borderId="164" xfId="59" applyFont="1" applyBorder="1" applyAlignment="1">
      <alignment horizontal="center" vertical="center" wrapText="1"/>
      <protection/>
    </xf>
    <xf numFmtId="0" fontId="7" fillId="0" borderId="157" xfId="59" applyFont="1" applyBorder="1" applyAlignment="1">
      <alignment horizontal="center" vertical="center" wrapText="1"/>
      <protection/>
    </xf>
    <xf numFmtId="0" fontId="7" fillId="0" borderId="158" xfId="59" applyFont="1" applyBorder="1" applyAlignment="1">
      <alignment horizontal="center" vertical="center" wrapText="1"/>
      <protection/>
    </xf>
    <xf numFmtId="0" fontId="7" fillId="0" borderId="159" xfId="59" applyFont="1" applyBorder="1" applyAlignment="1">
      <alignment horizontal="center" vertical="center" wrapText="1"/>
      <protection/>
    </xf>
    <xf numFmtId="0" fontId="92" fillId="0" borderId="125" xfId="0" applyFont="1" applyBorder="1" applyAlignment="1">
      <alignment horizontal="center" vertical="center" textRotation="90"/>
    </xf>
    <xf numFmtId="0" fontId="92" fillId="0" borderId="117" xfId="0" applyFont="1" applyBorder="1" applyAlignment="1">
      <alignment horizontal="center" vertical="center" textRotation="90"/>
    </xf>
    <xf numFmtId="0" fontId="92" fillId="0" borderId="110" xfId="0" applyFont="1" applyBorder="1" applyAlignment="1">
      <alignment horizontal="center" vertical="center" textRotation="90"/>
    </xf>
    <xf numFmtId="0" fontId="92" fillId="0" borderId="115" xfId="0" applyFont="1" applyBorder="1" applyAlignment="1">
      <alignment horizontal="center" vertical="center" textRotation="90"/>
    </xf>
    <xf numFmtId="0" fontId="92" fillId="0" borderId="111" xfId="0" applyFont="1" applyBorder="1" applyAlignment="1">
      <alignment horizontal="center" vertical="center" textRotation="90"/>
    </xf>
    <xf numFmtId="0" fontId="92" fillId="0" borderId="136" xfId="0" applyFont="1" applyBorder="1" applyAlignment="1">
      <alignment horizontal="center" vertical="center" textRotation="90"/>
    </xf>
    <xf numFmtId="0" fontId="92" fillId="0" borderId="111" xfId="0" applyFont="1" applyBorder="1" applyAlignment="1">
      <alignment horizontal="center" vertical="center" textRotation="90" wrapText="1"/>
    </xf>
    <xf numFmtId="0" fontId="92" fillId="0" borderId="136" xfId="0" applyFont="1" applyBorder="1" applyAlignment="1">
      <alignment horizontal="center" vertical="center" textRotation="90" wrapText="1"/>
    </xf>
    <xf numFmtId="0" fontId="92" fillId="0" borderId="108" xfId="0" applyFont="1" applyBorder="1" applyAlignment="1">
      <alignment horizontal="center" vertical="center" textRotation="90"/>
    </xf>
    <xf numFmtId="0" fontId="92" fillId="0" borderId="116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98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2" fillId="0" borderId="107" xfId="0" applyFont="1" applyBorder="1" applyAlignment="1">
      <alignment horizontal="center" vertical="center" wrapText="1"/>
    </xf>
    <xf numFmtId="0" fontId="92" fillId="0" borderId="108" xfId="0" applyFont="1" applyBorder="1" applyAlignment="1">
      <alignment horizontal="center" vertical="center" wrapText="1"/>
    </xf>
    <xf numFmtId="0" fontId="92" fillId="0" borderId="116" xfId="0" applyFont="1" applyBorder="1" applyAlignment="1">
      <alignment horizontal="center" vertical="center" wrapText="1"/>
    </xf>
    <xf numFmtId="0" fontId="92" fillId="0" borderId="130" xfId="0" applyFont="1" applyBorder="1" applyAlignment="1">
      <alignment horizontal="center" vertical="center"/>
    </xf>
    <xf numFmtId="0" fontId="92" fillId="0" borderId="129" xfId="0" applyFont="1" applyBorder="1" applyAlignment="1">
      <alignment horizontal="center" vertical="center"/>
    </xf>
    <xf numFmtId="0" fontId="92" fillId="0" borderId="131" xfId="0" applyFont="1" applyBorder="1" applyAlignment="1">
      <alignment horizontal="center" vertical="center"/>
    </xf>
    <xf numFmtId="0" fontId="92" fillId="0" borderId="110" xfId="0" applyFont="1" applyBorder="1" applyAlignment="1">
      <alignment horizontal="center" vertical="center" textRotation="90" wrapText="1"/>
    </xf>
    <xf numFmtId="0" fontId="92" fillId="0" borderId="115" xfId="0" applyFont="1" applyBorder="1" applyAlignment="1">
      <alignment horizontal="center" vertical="center" textRotation="90" wrapText="1"/>
    </xf>
    <xf numFmtId="0" fontId="14" fillId="0" borderId="77" xfId="0" applyFont="1" applyBorder="1" applyAlignment="1">
      <alignment horizontal="center" vertical="center"/>
    </xf>
    <xf numFmtId="0" fontId="14" fillId="0" borderId="8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8" fillId="33" borderId="77" xfId="0" applyFont="1" applyFill="1" applyBorder="1" applyAlignment="1">
      <alignment horizontal="center" vertical="center"/>
    </xf>
    <xf numFmtId="0" fontId="18" fillId="33" borderId="85" xfId="0" applyFont="1" applyFill="1" applyBorder="1" applyAlignment="1">
      <alignment horizontal="center" vertical="center"/>
    </xf>
    <xf numFmtId="0" fontId="18" fillId="0" borderId="77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34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7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39" xfId="0" applyFont="1" applyBorder="1" applyAlignment="1">
      <alignment horizontal="center" vertical="center"/>
    </xf>
    <xf numFmtId="0" fontId="60" fillId="0" borderId="46" xfId="0" applyFont="1" applyBorder="1" applyAlignment="1">
      <alignment horizontal="center" vertical="center"/>
    </xf>
    <xf numFmtId="0" fontId="60" fillId="0" borderId="64" xfId="0" applyFont="1" applyBorder="1" applyAlignment="1">
      <alignment horizontal="center" vertical="center"/>
    </xf>
    <xf numFmtId="0" fontId="52" fillId="0" borderId="165" xfId="0" applyFont="1" applyBorder="1" applyAlignment="1">
      <alignment horizontal="center" vertical="center"/>
    </xf>
    <xf numFmtId="0" fontId="52" fillId="0" borderId="40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54" fillId="36" borderId="41" xfId="0" applyFont="1" applyFill="1" applyBorder="1" applyAlignment="1">
      <alignment horizontal="center" vertical="center"/>
    </xf>
    <xf numFmtId="0" fontId="54" fillId="36" borderId="0" xfId="0" applyFont="1" applyFill="1" applyBorder="1" applyAlignment="1">
      <alignment horizontal="center" vertical="center"/>
    </xf>
    <xf numFmtId="0" fontId="68" fillId="33" borderId="73" xfId="0" applyFont="1" applyFill="1" applyBorder="1" applyAlignment="1">
      <alignment horizontal="center" vertical="center"/>
    </xf>
    <xf numFmtId="0" fontId="68" fillId="33" borderId="69" xfId="0" applyFont="1" applyFill="1" applyBorder="1" applyAlignment="1">
      <alignment horizontal="center" vertical="center"/>
    </xf>
    <xf numFmtId="0" fontId="41" fillId="35" borderId="41" xfId="0" applyFont="1" applyFill="1" applyBorder="1" applyAlignment="1">
      <alignment horizontal="center" vertical="center"/>
    </xf>
    <xf numFmtId="0" fontId="41" fillId="35" borderId="0" xfId="0" applyFont="1" applyFill="1" applyBorder="1" applyAlignment="1">
      <alignment horizontal="center" vertical="center"/>
    </xf>
    <xf numFmtId="0" fontId="57" fillId="34" borderId="4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64" fillId="37" borderId="41" xfId="0" applyFont="1" applyFill="1" applyBorder="1" applyAlignment="1">
      <alignment horizontal="center" vertical="center"/>
    </xf>
    <xf numFmtId="0" fontId="64" fillId="37" borderId="0" xfId="0" applyFont="1" applyFill="1" applyBorder="1" applyAlignment="1">
      <alignment horizontal="center" vertical="center"/>
    </xf>
    <xf numFmtId="0" fontId="52" fillId="36" borderId="41" xfId="0" applyFont="1" applyFill="1" applyBorder="1" applyAlignment="1">
      <alignment horizontal="center" vertical="center"/>
    </xf>
    <xf numFmtId="0" fontId="52" fillId="36" borderId="0" xfId="0" applyFont="1" applyFill="1" applyBorder="1" applyAlignment="1">
      <alignment horizontal="center" vertical="center"/>
    </xf>
    <xf numFmtId="0" fontId="72" fillId="0" borderId="0" xfId="0" applyFont="1" applyAlignment="1">
      <alignment horizontal="center"/>
    </xf>
    <xf numFmtId="0" fontId="72" fillId="0" borderId="0" xfId="0" applyFont="1" applyBorder="1" applyAlignment="1">
      <alignment horizontal="center"/>
    </xf>
    <xf numFmtId="0" fontId="83" fillId="0" borderId="77" xfId="0" applyFont="1" applyBorder="1" applyAlignment="1">
      <alignment horizontal="center" vertical="center"/>
    </xf>
    <xf numFmtId="0" fontId="83" fillId="0" borderId="85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29" fillId="0" borderId="77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85" xfId="0" applyFont="1" applyBorder="1" applyAlignment="1">
      <alignment horizontal="center" vertical="center"/>
    </xf>
    <xf numFmtId="0" fontId="84" fillId="0" borderId="77" xfId="0" applyFont="1" applyBorder="1" applyAlignment="1">
      <alignment horizontal="center" vertical="center"/>
    </xf>
    <xf numFmtId="0" fontId="84" fillId="0" borderId="85" xfId="0" applyFont="1" applyBorder="1" applyAlignment="1">
      <alignment horizontal="center" vertical="center"/>
    </xf>
    <xf numFmtId="0" fontId="82" fillId="0" borderId="17" xfId="0" applyFont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XONOMY" xfId="55"/>
    <cellStyle name="Normal_أسماك النشره" xfId="56"/>
    <cellStyle name="Normal_البحر الاحمر 2005- زينب" xfId="57"/>
    <cellStyle name="Normal_المتوسط من27إلى39" xfId="58"/>
    <cellStyle name="Normal_المزارع تفصيلى" xfId="59"/>
    <cellStyle name="Normal_النيل من 106إلى124" xfId="60"/>
    <cellStyle name="Normal_بحر احمر من 41إلى52" xfId="61"/>
    <cellStyle name="Normal_خليج السويس" xfId="62"/>
    <cellStyle name="Normal_ملخص احصاءات الانتاج السمكى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53975"/>
          <c:w val="0.4145"/>
          <c:h val="0.23475"/>
        </c:manualLayout>
      </c:layout>
      <c:pie3DChart>
        <c:varyColors val="1"/>
        <c:ser>
          <c:idx val="0"/>
          <c:order val="0"/>
          <c:tx>
            <c:strRef>
              <c:f>Grf!$A$5:$A$10</c:f>
              <c:strCache>
                <c:ptCount val="1"/>
                <c:pt idx="0">
                  <c:v>Marine fisheries Northern lakes Coastal Depressions Inland lakes River Nile Aquaculture</c:v>
                </c:pt>
              </c:strCache>
            </c:strRef>
          </c:tx>
          <c:spPr>
            <a:solidFill>
              <a:srgbClr val="9999FF"/>
            </a:soli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CC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660066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808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993366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FF99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00CCFF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80008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200" b="0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9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Grf!$A$5:$A$10</c:f>
              <c:strCache/>
            </c:strRef>
          </c:cat>
          <c:val>
            <c:numRef>
              <c:f>Grf!$C$5:$C$10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1395"/>
          <c:y val="0.26825"/>
          <c:w val="0.549"/>
          <c:h val="0.4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9336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00" b="0" i="0" u="none" baseline="0">
                        <a:solidFill>
                          <a:srgbClr val="3366FF"/>
                        </a:solidFill>
                      </a:rPr>
                      <a:t>Aquaculture
54.51%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00" b="0" i="0" u="none" baseline="0">
                        <a:solidFill>
                          <a:srgbClr val="993300"/>
                        </a:solidFill>
                      </a:rPr>
                      <a:t>Capture fisheries
45.49%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'Pr Grf'!$B$9:$C$9</c:f>
              <c:strCache/>
            </c:strRef>
          </c:cat>
          <c:val>
            <c:numRef>
              <c:f>'Pr Grf'!$B$10:$C$10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1825"/>
          <c:w val="0.965"/>
          <c:h val="0.96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'Grf91-2005'!$B$7:$P$7</c:f>
              <c:numCache/>
            </c:numRef>
          </c:cat>
          <c:val>
            <c:numRef>
              <c:f>'Grf91-2005'!$B$8:$P$8</c:f>
              <c:numCache/>
            </c:numRef>
          </c:val>
          <c:smooth val="0"/>
        </c:ser>
        <c:marker val="1"/>
        <c:axId val="63993512"/>
        <c:axId val="39070697"/>
      </c:lineChart>
      <c:catAx>
        <c:axId val="6399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9070697"/>
        <c:crosses val="autoZero"/>
        <c:auto val="1"/>
        <c:lblOffset val="100"/>
        <c:tickLblSkip val="1"/>
        <c:noMultiLvlLbl val="0"/>
      </c:catAx>
      <c:valAx>
        <c:axId val="39070697"/>
        <c:scaling>
          <c:orientation val="minMax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35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0.12875</cdr:x>
      <cdr:y>-0.0005</cdr:y>
    </cdr:from>
    <cdr:to>
      <cdr:x>0.93425</cdr:x>
      <cdr:y>0.27425</cdr:y>
    </cdr:to>
    <cdr:sp>
      <cdr:nvSpPr>
        <cdr:cNvPr id="1" name="TextBox 1"/>
        <cdr:cNvSpPr txBox="1">
          <a:spLocks noChangeArrowheads="1"/>
        </cdr:cNvSpPr>
      </cdr:nvSpPr>
      <cdr:spPr>
        <a:xfrm>
          <a:off x="1162050" y="0"/>
          <a:ext cx="7324725" cy="1704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0" u="none" baseline="0">
              <a:solidFill>
                <a:srgbClr val="FF0000"/>
              </a:solidFill>
            </a:rPr>
            <a:t>Fish production in percentage
from different resources
in 2005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</xdr:row>
      <xdr:rowOff>133350</xdr:rowOff>
    </xdr:from>
    <xdr:to>
      <xdr:col>13</xdr:col>
      <xdr:colOff>600075</xdr:colOff>
      <xdr:row>42</xdr:row>
      <xdr:rowOff>133350</xdr:rowOff>
    </xdr:to>
    <xdr:graphicFrame>
      <xdr:nvGraphicFramePr>
        <xdr:cNvPr id="1" name="Chart 1"/>
        <xdr:cNvGraphicFramePr/>
      </xdr:nvGraphicFramePr>
      <xdr:xfrm>
        <a:off x="47625" y="781050"/>
        <a:ext cx="909637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38100</xdr:rowOff>
    </xdr:from>
    <xdr:to>
      <xdr:col>4</xdr:col>
      <xdr:colOff>600075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19050" y="3267075"/>
        <a:ext cx="77724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66675</xdr:rowOff>
    </xdr:from>
    <xdr:to>
      <xdr:col>15</xdr:col>
      <xdr:colOff>428625</xdr:colOff>
      <xdr:row>32</xdr:row>
      <xdr:rowOff>76200</xdr:rowOff>
    </xdr:to>
    <xdr:graphicFrame>
      <xdr:nvGraphicFramePr>
        <xdr:cNvPr id="1" name="Chart 2"/>
        <xdr:cNvGraphicFramePr/>
      </xdr:nvGraphicFramePr>
      <xdr:xfrm>
        <a:off x="0" y="1857375"/>
        <a:ext cx="82105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19050</xdr:rowOff>
    </xdr:from>
    <xdr:to>
      <xdr:col>1</xdr:col>
      <xdr:colOff>28575</xdr:colOff>
      <xdr:row>7</xdr:row>
      <xdr:rowOff>171450</xdr:rowOff>
    </xdr:to>
    <xdr:sp>
      <xdr:nvSpPr>
        <xdr:cNvPr id="1" name="Line 1"/>
        <xdr:cNvSpPr>
          <a:spLocks/>
        </xdr:cNvSpPr>
      </xdr:nvSpPr>
      <xdr:spPr>
        <a:xfrm>
          <a:off x="0" y="1447800"/>
          <a:ext cx="1876425" cy="333375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Z68"/>
  <sheetViews>
    <sheetView zoomScale="160" zoomScaleNormal="160" zoomScalePageLayoutView="0" workbookViewId="0" topLeftCell="A1">
      <selection activeCell="A1" sqref="A1"/>
      <selection activeCell="A1" sqref="A1:J1"/>
    </sheetView>
  </sheetViews>
  <sheetFormatPr defaultColWidth="9.140625" defaultRowHeight="12.75"/>
  <cols>
    <col min="1" max="1" width="13.7109375" style="497" customWidth="1"/>
    <col min="2" max="2" width="6.421875" style="497" customWidth="1"/>
    <col min="3" max="3" width="6.421875" style="569" customWidth="1"/>
    <col min="4" max="4" width="7.57421875" style="497" customWidth="1"/>
    <col min="5" max="5" width="6.7109375" style="569" customWidth="1"/>
    <col min="6" max="6" width="10.421875" style="568" customWidth="1"/>
    <col min="7" max="7" width="12.140625" style="497" customWidth="1"/>
    <col min="8" max="8" width="12.00390625" style="568" customWidth="1"/>
    <col min="9" max="9" width="8.8515625" style="571" customWidth="1"/>
    <col min="10" max="10" width="10.28125" style="568" customWidth="1"/>
    <col min="11" max="11" width="13.421875" style="497" bestFit="1" customWidth="1"/>
    <col min="12" max="12" width="9.140625" style="498" customWidth="1"/>
    <col min="13" max="16384" width="9.140625" style="497" customWidth="1"/>
  </cols>
  <sheetData>
    <row r="1" spans="1:10" ht="15.75" customHeight="1">
      <c r="A1" s="1127" t="s">
        <v>203</v>
      </c>
      <c r="B1" s="1127"/>
      <c r="C1" s="1127"/>
      <c r="D1" s="1127"/>
      <c r="E1" s="1127"/>
      <c r="F1" s="1127"/>
      <c r="G1" s="1127"/>
      <c r="H1" s="1127"/>
      <c r="I1" s="1127"/>
      <c r="J1" s="1127"/>
    </row>
    <row r="2" spans="1:23" ht="14.25" customHeight="1">
      <c r="A2" s="499" t="s">
        <v>204</v>
      </c>
      <c r="B2" s="499"/>
      <c r="C2" s="500"/>
      <c r="D2" s="499"/>
      <c r="E2" s="500"/>
      <c r="F2" s="499"/>
      <c r="G2" s="501"/>
      <c r="H2" s="501"/>
      <c r="I2" s="502"/>
      <c r="J2" s="501"/>
      <c r="U2" s="503"/>
      <c r="V2" s="503"/>
      <c r="W2" s="503"/>
    </row>
    <row r="3" spans="1:23" ht="14.25" customHeight="1">
      <c r="A3" s="499"/>
      <c r="B3" s="499"/>
      <c r="C3" s="500"/>
      <c r="D3" s="499"/>
      <c r="E3" s="500"/>
      <c r="F3" s="499"/>
      <c r="G3" s="501"/>
      <c r="H3" s="501"/>
      <c r="I3" s="502"/>
      <c r="J3" s="501"/>
      <c r="U3" s="503"/>
      <c r="V3" s="503"/>
      <c r="W3" s="503"/>
    </row>
    <row r="4" spans="1:26" ht="22.5" customHeight="1">
      <c r="A4" s="1128" t="s">
        <v>205</v>
      </c>
      <c r="B4" s="1128"/>
      <c r="C4" s="1128"/>
      <c r="D4" s="1128"/>
      <c r="E4" s="1128"/>
      <c r="F4" s="1128"/>
      <c r="G4" s="1128"/>
      <c r="H4" s="1128"/>
      <c r="I4" s="1128"/>
      <c r="J4" s="1128"/>
      <c r="K4" s="504"/>
      <c r="L4" s="505"/>
      <c r="M4" s="504"/>
      <c r="N4" s="504"/>
      <c r="O4" s="504"/>
      <c r="P4" s="504"/>
      <c r="Q4" s="504"/>
      <c r="R4" s="504"/>
      <c r="S4" s="504"/>
      <c r="T4" s="504"/>
      <c r="U4" s="504"/>
      <c r="V4" s="504"/>
      <c r="W4" s="504"/>
      <c r="X4" s="504"/>
      <c r="Y4" s="504"/>
      <c r="Z4" s="504"/>
    </row>
    <row r="5" spans="1:26" ht="21.75" customHeight="1" thickBot="1">
      <c r="A5" s="1129" t="s">
        <v>206</v>
      </c>
      <c r="B5" s="1129"/>
      <c r="C5" s="1129"/>
      <c r="D5" s="1129"/>
      <c r="E5" s="1129"/>
      <c r="F5" s="1129"/>
      <c r="G5" s="1129"/>
      <c r="H5" s="1129"/>
      <c r="I5" s="1129"/>
      <c r="J5" s="1129"/>
      <c r="K5" s="504"/>
      <c r="L5" s="505"/>
      <c r="M5" s="504"/>
      <c r="N5" s="504"/>
      <c r="O5" s="504"/>
      <c r="P5" s="504"/>
      <c r="Q5" s="504"/>
      <c r="R5" s="504"/>
      <c r="S5" s="504"/>
      <c r="T5" s="504"/>
      <c r="U5" s="504"/>
      <c r="V5" s="504"/>
      <c r="W5" s="504"/>
      <c r="X5" s="504"/>
      <c r="Y5" s="504"/>
      <c r="Z5" s="504"/>
    </row>
    <row r="6" spans="1:26" s="516" customFormat="1" ht="33" customHeight="1" thickBot="1" thickTop="1">
      <c r="A6" s="506" t="s">
        <v>207</v>
      </c>
      <c r="B6" s="507" t="s">
        <v>208</v>
      </c>
      <c r="C6" s="508" t="s">
        <v>209</v>
      </c>
      <c r="D6" s="509" t="s">
        <v>210</v>
      </c>
      <c r="E6" s="508" t="s">
        <v>211</v>
      </c>
      <c r="F6" s="510" t="s">
        <v>212</v>
      </c>
      <c r="G6" s="509" t="s">
        <v>213</v>
      </c>
      <c r="H6" s="511" t="s">
        <v>214</v>
      </c>
      <c r="I6" s="512" t="s">
        <v>215</v>
      </c>
      <c r="J6" s="513" t="s">
        <v>216</v>
      </c>
      <c r="K6" s="514"/>
      <c r="L6" s="515"/>
      <c r="M6" s="514"/>
      <c r="N6" s="514"/>
      <c r="O6" s="514"/>
      <c r="P6" s="514"/>
      <c r="Q6" s="514"/>
      <c r="R6" s="514"/>
      <c r="S6" s="514"/>
      <c r="T6" s="514"/>
      <c r="U6" s="514"/>
      <c r="V6" s="514"/>
      <c r="W6" s="514"/>
      <c r="X6" s="514"/>
      <c r="Y6" s="514"/>
      <c r="Z6" s="514"/>
    </row>
    <row r="7" spans="1:12" s="516" customFormat="1" ht="13.5" customHeight="1" thickTop="1">
      <c r="A7" s="517" t="s">
        <v>198</v>
      </c>
      <c r="B7" s="518" t="s">
        <v>105</v>
      </c>
      <c r="C7" s="519">
        <v>27</v>
      </c>
      <c r="D7" s="520" t="s">
        <v>105</v>
      </c>
      <c r="E7" s="893" t="s">
        <v>105</v>
      </c>
      <c r="F7" s="520">
        <f aca="true" t="shared" si="0" ref="F7:F38">SUM(B7:E7)</f>
        <v>27</v>
      </c>
      <c r="G7" s="520" t="s">
        <v>105</v>
      </c>
      <c r="H7" s="521">
        <f aca="true" t="shared" si="1" ref="H7:H38">SUM(F7:G7)</f>
        <v>27</v>
      </c>
      <c r="I7" s="522">
        <v>75</v>
      </c>
      <c r="J7" s="523">
        <f aca="true" t="shared" si="2" ref="J7:J59">H7*I7</f>
        <v>2025</v>
      </c>
      <c r="L7" s="524"/>
    </row>
    <row r="8" spans="1:12" s="516" customFormat="1" ht="11.25" customHeight="1">
      <c r="A8" s="517" t="s">
        <v>217</v>
      </c>
      <c r="B8" s="518" t="s">
        <v>105</v>
      </c>
      <c r="C8" s="525">
        <v>1467</v>
      </c>
      <c r="D8" s="526" t="s">
        <v>105</v>
      </c>
      <c r="E8" s="527" t="s">
        <v>105</v>
      </c>
      <c r="F8" s="520">
        <f t="shared" si="0"/>
        <v>1467</v>
      </c>
      <c r="G8" s="526" t="s">
        <v>105</v>
      </c>
      <c r="H8" s="521">
        <f t="shared" si="1"/>
        <v>1467</v>
      </c>
      <c r="I8" s="528">
        <v>4.33</v>
      </c>
      <c r="J8" s="529">
        <f t="shared" si="2"/>
        <v>6352.11</v>
      </c>
      <c r="L8" s="524"/>
    </row>
    <row r="9" spans="1:12" s="516" customFormat="1" ht="12.75" customHeight="1">
      <c r="A9" s="517" t="s">
        <v>201</v>
      </c>
      <c r="B9" s="518">
        <v>577</v>
      </c>
      <c r="C9" s="525">
        <v>51</v>
      </c>
      <c r="D9" s="526" t="s">
        <v>105</v>
      </c>
      <c r="E9" s="527" t="s">
        <v>105</v>
      </c>
      <c r="F9" s="520">
        <f t="shared" si="0"/>
        <v>628</v>
      </c>
      <c r="G9" s="526" t="s">
        <v>105</v>
      </c>
      <c r="H9" s="521">
        <f t="shared" si="1"/>
        <v>628</v>
      </c>
      <c r="I9" s="530">
        <v>8.5</v>
      </c>
      <c r="J9" s="529">
        <f t="shared" si="2"/>
        <v>5338</v>
      </c>
      <c r="L9" s="524"/>
    </row>
    <row r="10" spans="1:12" s="516" customFormat="1" ht="11.25" customHeight="1">
      <c r="A10" s="517" t="s">
        <v>218</v>
      </c>
      <c r="B10" s="518" t="s">
        <v>105</v>
      </c>
      <c r="C10" s="525">
        <v>7935</v>
      </c>
      <c r="D10" s="526" t="s">
        <v>105</v>
      </c>
      <c r="E10" s="527" t="s">
        <v>105</v>
      </c>
      <c r="F10" s="520">
        <f t="shared" si="0"/>
        <v>7935</v>
      </c>
      <c r="G10" s="526" t="s">
        <v>105</v>
      </c>
      <c r="H10" s="521">
        <f t="shared" si="1"/>
        <v>7935</v>
      </c>
      <c r="I10" s="528">
        <v>2.7</v>
      </c>
      <c r="J10" s="529">
        <f t="shared" si="2"/>
        <v>21424.5</v>
      </c>
      <c r="L10" s="524"/>
    </row>
    <row r="11" spans="1:12" s="516" customFormat="1" ht="11.25" customHeight="1">
      <c r="A11" s="517" t="s">
        <v>83</v>
      </c>
      <c r="B11" s="518">
        <v>1478</v>
      </c>
      <c r="C11" s="525">
        <v>713</v>
      </c>
      <c r="D11" s="526" t="s">
        <v>105</v>
      </c>
      <c r="E11" s="527" t="s">
        <v>105</v>
      </c>
      <c r="F11" s="520">
        <f t="shared" si="0"/>
        <v>2191</v>
      </c>
      <c r="G11" s="526" t="s">
        <v>105</v>
      </c>
      <c r="H11" s="521">
        <f t="shared" si="1"/>
        <v>2191</v>
      </c>
      <c r="I11" s="531">
        <v>10.22</v>
      </c>
      <c r="J11" s="529">
        <f t="shared" si="2"/>
        <v>22392.02</v>
      </c>
      <c r="L11" s="524"/>
    </row>
    <row r="12" spans="1:12" s="516" customFormat="1" ht="11.25" customHeight="1">
      <c r="A12" s="532" t="s">
        <v>87</v>
      </c>
      <c r="B12" s="518">
        <v>5056</v>
      </c>
      <c r="C12" s="527" t="s">
        <v>105</v>
      </c>
      <c r="D12" s="521">
        <v>240</v>
      </c>
      <c r="E12" s="525">
        <v>1745</v>
      </c>
      <c r="F12" s="520">
        <f t="shared" si="0"/>
        <v>7041</v>
      </c>
      <c r="G12" s="526" t="s">
        <v>105</v>
      </c>
      <c r="H12" s="521">
        <f t="shared" si="1"/>
        <v>7041</v>
      </c>
      <c r="I12" s="528">
        <v>3.2</v>
      </c>
      <c r="J12" s="529">
        <f t="shared" si="2"/>
        <v>22531.2</v>
      </c>
      <c r="L12" s="524"/>
    </row>
    <row r="13" spans="1:12" s="516" customFormat="1" ht="11.25" customHeight="1">
      <c r="A13" s="532" t="s">
        <v>84</v>
      </c>
      <c r="B13" s="518" t="s">
        <v>105</v>
      </c>
      <c r="C13" s="527">
        <v>10</v>
      </c>
      <c r="D13" s="521">
        <v>56</v>
      </c>
      <c r="E13" s="527" t="s">
        <v>105</v>
      </c>
      <c r="F13" s="520">
        <f t="shared" si="0"/>
        <v>66</v>
      </c>
      <c r="G13" s="526" t="s">
        <v>105</v>
      </c>
      <c r="H13" s="521">
        <f t="shared" si="1"/>
        <v>66</v>
      </c>
      <c r="I13" s="528">
        <v>4.5</v>
      </c>
      <c r="J13" s="529">
        <f t="shared" si="2"/>
        <v>297</v>
      </c>
      <c r="L13" s="524"/>
    </row>
    <row r="14" spans="1:12" s="516" customFormat="1" ht="11.25" customHeight="1">
      <c r="A14" s="517" t="s">
        <v>92</v>
      </c>
      <c r="B14" s="518">
        <v>963</v>
      </c>
      <c r="C14" s="525">
        <v>135</v>
      </c>
      <c r="D14" s="526" t="s">
        <v>105</v>
      </c>
      <c r="E14" s="527" t="s">
        <v>105</v>
      </c>
      <c r="F14" s="520">
        <f t="shared" si="0"/>
        <v>1098</v>
      </c>
      <c r="G14" s="526" t="s">
        <v>105</v>
      </c>
      <c r="H14" s="521">
        <f t="shared" si="1"/>
        <v>1098</v>
      </c>
      <c r="I14" s="528">
        <v>7.5</v>
      </c>
      <c r="J14" s="529">
        <f t="shared" si="2"/>
        <v>8235</v>
      </c>
      <c r="L14" s="524"/>
    </row>
    <row r="15" spans="1:12" s="516" customFormat="1" ht="11.25" customHeight="1">
      <c r="A15" s="517" t="s">
        <v>89</v>
      </c>
      <c r="B15" s="518" t="s">
        <v>105</v>
      </c>
      <c r="C15" s="527" t="s">
        <v>105</v>
      </c>
      <c r="D15" s="521">
        <v>88587</v>
      </c>
      <c r="E15" s="525">
        <v>27874</v>
      </c>
      <c r="F15" s="520">
        <f t="shared" si="0"/>
        <v>116461</v>
      </c>
      <c r="G15" s="533">
        <v>217018.66</v>
      </c>
      <c r="H15" s="534">
        <f t="shared" si="1"/>
        <v>333479.66000000003</v>
      </c>
      <c r="I15" s="528">
        <v>7.5</v>
      </c>
      <c r="J15" s="529">
        <f t="shared" si="2"/>
        <v>2501097.45</v>
      </c>
      <c r="L15" s="524"/>
    </row>
    <row r="16" spans="1:14" s="516" customFormat="1" ht="11.25" customHeight="1">
      <c r="A16" s="517" t="s">
        <v>94</v>
      </c>
      <c r="B16" s="518" t="s">
        <v>105</v>
      </c>
      <c r="C16" s="527" t="s">
        <v>105</v>
      </c>
      <c r="D16" s="526" t="s">
        <v>105</v>
      </c>
      <c r="E16" s="525">
        <v>636</v>
      </c>
      <c r="F16" s="520">
        <f t="shared" si="0"/>
        <v>636</v>
      </c>
      <c r="G16" s="526" t="s">
        <v>105</v>
      </c>
      <c r="H16" s="521">
        <f t="shared" si="1"/>
        <v>636</v>
      </c>
      <c r="I16" s="528">
        <v>5.5</v>
      </c>
      <c r="J16" s="529">
        <f t="shared" si="2"/>
        <v>3498</v>
      </c>
      <c r="L16" s="524"/>
      <c r="M16" s="516">
        <f>+M17/L18</f>
        <v>62.52662255828607</v>
      </c>
      <c r="N16" s="516" t="s">
        <v>338</v>
      </c>
    </row>
    <row r="17" spans="1:14" s="516" customFormat="1" ht="14.25">
      <c r="A17" s="517" t="s">
        <v>196</v>
      </c>
      <c r="B17" s="518" t="s">
        <v>105</v>
      </c>
      <c r="C17" s="525">
        <v>1000</v>
      </c>
      <c r="D17" s="526" t="s">
        <v>105</v>
      </c>
      <c r="E17" s="527" t="s">
        <v>105</v>
      </c>
      <c r="F17" s="520">
        <f t="shared" si="0"/>
        <v>1000</v>
      </c>
      <c r="G17" s="526" t="s">
        <v>105</v>
      </c>
      <c r="H17" s="521">
        <f t="shared" si="1"/>
        <v>1000</v>
      </c>
      <c r="I17" s="528">
        <v>10.5</v>
      </c>
      <c r="J17" s="529">
        <f t="shared" si="2"/>
        <v>10500</v>
      </c>
      <c r="L17" s="524"/>
      <c r="M17" s="516">
        <f>2025+791813</f>
        <v>793838</v>
      </c>
      <c r="N17" s="516" t="s">
        <v>337</v>
      </c>
    </row>
    <row r="18" spans="1:14" s="516" customFormat="1" ht="14.25">
      <c r="A18" s="535" t="s">
        <v>149</v>
      </c>
      <c r="B18" s="518" t="s">
        <v>105</v>
      </c>
      <c r="C18" s="536">
        <v>1288</v>
      </c>
      <c r="D18" s="537">
        <v>4095</v>
      </c>
      <c r="E18" s="538">
        <v>7900</v>
      </c>
      <c r="F18" s="520">
        <f t="shared" si="0"/>
        <v>13283</v>
      </c>
      <c r="G18" s="539">
        <v>436.423</v>
      </c>
      <c r="H18" s="540">
        <f t="shared" si="1"/>
        <v>13719.423</v>
      </c>
      <c r="I18" s="528">
        <v>5.7</v>
      </c>
      <c r="J18" s="529">
        <f t="shared" si="2"/>
        <v>78200.7111</v>
      </c>
      <c r="L18" s="524">
        <f>27+12669</f>
        <v>12696</v>
      </c>
      <c r="M18" s="516" t="s">
        <v>219</v>
      </c>
      <c r="N18" s="516" t="s">
        <v>336</v>
      </c>
    </row>
    <row r="19" spans="1:13" s="516" customFormat="1" ht="14.25">
      <c r="A19" s="517" t="s">
        <v>86</v>
      </c>
      <c r="B19" s="541">
        <v>2950</v>
      </c>
      <c r="C19" s="525">
        <v>1957</v>
      </c>
      <c r="D19" s="521">
        <v>4464</v>
      </c>
      <c r="E19" s="527" t="s">
        <v>105</v>
      </c>
      <c r="F19" s="520">
        <f t="shared" si="0"/>
        <v>9371</v>
      </c>
      <c r="G19" s="542">
        <v>3298</v>
      </c>
      <c r="H19" s="521">
        <f t="shared" si="1"/>
        <v>12669</v>
      </c>
      <c r="I19" s="528">
        <v>62.5</v>
      </c>
      <c r="J19" s="529">
        <f t="shared" si="2"/>
        <v>791812.5</v>
      </c>
      <c r="L19" s="543">
        <f>+C7+C19</f>
        <v>1984</v>
      </c>
      <c r="M19" s="516" t="s">
        <v>219</v>
      </c>
    </row>
    <row r="20" spans="1:12" s="516" customFormat="1" ht="14.25">
      <c r="A20" s="517" t="s">
        <v>189</v>
      </c>
      <c r="B20" s="518" t="s">
        <v>105</v>
      </c>
      <c r="C20" s="525">
        <v>1481</v>
      </c>
      <c r="D20" s="526" t="s">
        <v>105</v>
      </c>
      <c r="E20" s="527" t="s">
        <v>105</v>
      </c>
      <c r="F20" s="520">
        <f t="shared" si="0"/>
        <v>1481</v>
      </c>
      <c r="G20" s="526" t="s">
        <v>105</v>
      </c>
      <c r="H20" s="521">
        <f t="shared" si="1"/>
        <v>1481</v>
      </c>
      <c r="I20" s="528">
        <v>9.5</v>
      </c>
      <c r="J20" s="529">
        <f t="shared" si="2"/>
        <v>14069.5</v>
      </c>
      <c r="L20" s="524"/>
    </row>
    <row r="21" spans="1:12" s="516" customFormat="1" ht="14.25">
      <c r="A21" s="532" t="s">
        <v>73</v>
      </c>
      <c r="B21" s="518" t="s">
        <v>105</v>
      </c>
      <c r="C21" s="527" t="s">
        <v>105</v>
      </c>
      <c r="D21" s="521">
        <v>574</v>
      </c>
      <c r="E21" s="525">
        <v>350</v>
      </c>
      <c r="F21" s="520">
        <f t="shared" si="0"/>
        <v>924</v>
      </c>
      <c r="G21" s="539">
        <v>0.031</v>
      </c>
      <c r="H21" s="540">
        <f t="shared" si="1"/>
        <v>924.031</v>
      </c>
      <c r="I21" s="528">
        <v>37.79</v>
      </c>
      <c r="J21" s="529">
        <f t="shared" si="2"/>
        <v>34919.13149</v>
      </c>
      <c r="K21" s="544"/>
      <c r="L21" s="524"/>
    </row>
    <row r="22" spans="1:12" s="516" customFormat="1" ht="14.25">
      <c r="A22" s="517" t="s">
        <v>190</v>
      </c>
      <c r="B22" s="518" t="s">
        <v>105</v>
      </c>
      <c r="C22" s="525">
        <v>333</v>
      </c>
      <c r="D22" s="526" t="s">
        <v>105</v>
      </c>
      <c r="E22" s="527" t="s">
        <v>105</v>
      </c>
      <c r="F22" s="520">
        <f t="shared" si="0"/>
        <v>333</v>
      </c>
      <c r="G22" s="526" t="s">
        <v>105</v>
      </c>
      <c r="H22" s="521">
        <f t="shared" si="1"/>
        <v>333</v>
      </c>
      <c r="I22" s="545">
        <v>12</v>
      </c>
      <c r="J22" s="529">
        <f t="shared" si="2"/>
        <v>3996</v>
      </c>
      <c r="K22" s="544"/>
      <c r="L22" s="524"/>
    </row>
    <row r="23" spans="1:12" s="516" customFormat="1" ht="14.25">
      <c r="A23" s="517" t="s">
        <v>156</v>
      </c>
      <c r="B23" s="518" t="s">
        <v>105</v>
      </c>
      <c r="C23" s="525">
        <v>5</v>
      </c>
      <c r="D23" s="526" t="s">
        <v>105</v>
      </c>
      <c r="E23" s="527" t="s">
        <v>105</v>
      </c>
      <c r="F23" s="520">
        <f t="shared" si="0"/>
        <v>5</v>
      </c>
      <c r="G23" s="526" t="s">
        <v>105</v>
      </c>
      <c r="H23" s="521">
        <f t="shared" si="1"/>
        <v>5</v>
      </c>
      <c r="I23" s="545">
        <v>130</v>
      </c>
      <c r="J23" s="529">
        <f t="shared" si="2"/>
        <v>650</v>
      </c>
      <c r="K23" s="544"/>
      <c r="L23" s="524"/>
    </row>
    <row r="24" spans="1:12" s="516" customFormat="1" ht="14.25">
      <c r="A24" s="517" t="s">
        <v>220</v>
      </c>
      <c r="B24" s="518">
        <v>426</v>
      </c>
      <c r="C24" s="525">
        <v>721</v>
      </c>
      <c r="D24" s="546">
        <v>62</v>
      </c>
      <c r="E24" s="527" t="s">
        <v>105</v>
      </c>
      <c r="F24" s="520">
        <f t="shared" si="0"/>
        <v>1209</v>
      </c>
      <c r="G24" s="526" t="s">
        <v>105</v>
      </c>
      <c r="H24" s="521">
        <f t="shared" si="1"/>
        <v>1209</v>
      </c>
      <c r="I24" s="545">
        <v>13</v>
      </c>
      <c r="J24" s="529">
        <f t="shared" si="2"/>
        <v>15717</v>
      </c>
      <c r="L24" s="524"/>
    </row>
    <row r="25" spans="1:12" s="516" customFormat="1" ht="14.25">
      <c r="A25" s="517" t="s">
        <v>75</v>
      </c>
      <c r="B25" s="541">
        <v>800</v>
      </c>
      <c r="C25" s="527" t="s">
        <v>105</v>
      </c>
      <c r="D25" s="521">
        <v>534</v>
      </c>
      <c r="E25" s="527" t="s">
        <v>105</v>
      </c>
      <c r="F25" s="520">
        <f t="shared" si="0"/>
        <v>1334</v>
      </c>
      <c r="G25" s="547">
        <v>4398.431</v>
      </c>
      <c r="H25" s="540">
        <f t="shared" si="1"/>
        <v>5732.431</v>
      </c>
      <c r="I25" s="531">
        <v>23.87</v>
      </c>
      <c r="J25" s="529">
        <f t="shared" si="2"/>
        <v>136833.12797</v>
      </c>
      <c r="L25" s="524"/>
    </row>
    <row r="26" spans="1:15" s="516" customFormat="1" ht="14.25">
      <c r="A26" s="517" t="s">
        <v>85</v>
      </c>
      <c r="B26" s="541">
        <v>14976</v>
      </c>
      <c r="C26" s="525">
        <v>2887</v>
      </c>
      <c r="D26" s="521">
        <v>52</v>
      </c>
      <c r="E26" s="527" t="s">
        <v>105</v>
      </c>
      <c r="F26" s="520">
        <f t="shared" si="0"/>
        <v>17915</v>
      </c>
      <c r="G26" s="526" t="s">
        <v>105</v>
      </c>
      <c r="H26" s="521">
        <f t="shared" si="1"/>
        <v>17915</v>
      </c>
      <c r="I26" s="531">
        <v>3.59</v>
      </c>
      <c r="J26" s="529">
        <f t="shared" si="2"/>
        <v>64314.85</v>
      </c>
      <c r="L26" s="524"/>
      <c r="O26" s="524"/>
    </row>
    <row r="27" spans="1:12" s="516" customFormat="1" ht="14.25">
      <c r="A27" s="517" t="s">
        <v>221</v>
      </c>
      <c r="B27" s="541">
        <v>1697</v>
      </c>
      <c r="C27" s="525">
        <v>1139</v>
      </c>
      <c r="D27" s="521">
        <v>174</v>
      </c>
      <c r="E27" s="527" t="s">
        <v>105</v>
      </c>
      <c r="F27" s="520">
        <f t="shared" si="0"/>
        <v>3010</v>
      </c>
      <c r="G27" s="526" t="s">
        <v>105</v>
      </c>
      <c r="H27" s="521">
        <f t="shared" si="1"/>
        <v>3010</v>
      </c>
      <c r="I27" s="528">
        <v>17.2</v>
      </c>
      <c r="J27" s="529">
        <f t="shared" si="2"/>
        <v>51772</v>
      </c>
      <c r="L27" s="524"/>
    </row>
    <row r="28" spans="1:12" s="516" customFormat="1" ht="14.25">
      <c r="A28" s="517" t="s">
        <v>222</v>
      </c>
      <c r="B28" s="541">
        <v>745</v>
      </c>
      <c r="C28" s="525">
        <v>593</v>
      </c>
      <c r="D28" s="521">
        <v>100</v>
      </c>
      <c r="E28" s="527" t="s">
        <v>105</v>
      </c>
      <c r="F28" s="520">
        <f t="shared" si="0"/>
        <v>1438</v>
      </c>
      <c r="G28" s="526" t="s">
        <v>105</v>
      </c>
      <c r="H28" s="521">
        <f t="shared" si="1"/>
        <v>1438</v>
      </c>
      <c r="I28" s="528">
        <v>8.3</v>
      </c>
      <c r="J28" s="529">
        <f t="shared" si="2"/>
        <v>11935.400000000001</v>
      </c>
      <c r="L28" s="524"/>
    </row>
    <row r="29" spans="1:12" s="516" customFormat="1" ht="14.25">
      <c r="A29" s="517" t="s">
        <v>77</v>
      </c>
      <c r="B29" s="541">
        <v>782</v>
      </c>
      <c r="C29" s="527">
        <v>41</v>
      </c>
      <c r="D29" s="526" t="s">
        <v>105</v>
      </c>
      <c r="E29" s="527" t="s">
        <v>105</v>
      </c>
      <c r="F29" s="520">
        <f t="shared" si="0"/>
        <v>823</v>
      </c>
      <c r="G29" s="526" t="s">
        <v>105</v>
      </c>
      <c r="H29" s="521">
        <f t="shared" si="1"/>
        <v>823</v>
      </c>
      <c r="I29" s="528">
        <v>7.3</v>
      </c>
      <c r="J29" s="529">
        <f t="shared" si="2"/>
        <v>6007.9</v>
      </c>
      <c r="L29" s="524"/>
    </row>
    <row r="30" spans="1:12" s="516" customFormat="1" ht="14.25">
      <c r="A30" s="517" t="s">
        <v>91</v>
      </c>
      <c r="B30" s="541">
        <v>697</v>
      </c>
      <c r="C30" s="527" t="s">
        <v>105</v>
      </c>
      <c r="D30" s="526" t="s">
        <v>105</v>
      </c>
      <c r="E30" s="527" t="s">
        <v>105</v>
      </c>
      <c r="F30" s="520">
        <f t="shared" si="0"/>
        <v>697</v>
      </c>
      <c r="G30" s="526" t="s">
        <v>105</v>
      </c>
      <c r="H30" s="521">
        <f t="shared" si="1"/>
        <v>697</v>
      </c>
      <c r="I30" s="545">
        <v>8</v>
      </c>
      <c r="J30" s="529">
        <f t="shared" si="2"/>
        <v>5576</v>
      </c>
      <c r="L30" s="524">
        <f>10500+6251</f>
        <v>16751</v>
      </c>
    </row>
    <row r="31" spans="1:13" s="516" customFormat="1" ht="14.25">
      <c r="A31" s="517" t="s">
        <v>197</v>
      </c>
      <c r="B31" s="518" t="s">
        <v>105</v>
      </c>
      <c r="C31" s="525">
        <v>799</v>
      </c>
      <c r="D31" s="521">
        <v>94</v>
      </c>
      <c r="E31" s="527" t="s">
        <v>105</v>
      </c>
      <c r="F31" s="520">
        <f t="shared" si="0"/>
        <v>893</v>
      </c>
      <c r="G31" s="526" t="s">
        <v>105</v>
      </c>
      <c r="H31" s="521">
        <f t="shared" si="1"/>
        <v>893</v>
      </c>
      <c r="I31" s="545">
        <v>7</v>
      </c>
      <c r="J31" s="529">
        <f t="shared" si="2"/>
        <v>6251</v>
      </c>
      <c r="L31" s="543">
        <f>+C31+C17</f>
        <v>1799</v>
      </c>
      <c r="M31" s="516" t="s">
        <v>223</v>
      </c>
    </row>
    <row r="32" spans="1:12" s="516" customFormat="1" ht="14.25">
      <c r="A32" s="517" t="s">
        <v>71</v>
      </c>
      <c r="B32" s="518">
        <v>699</v>
      </c>
      <c r="C32" s="527" t="s">
        <v>105</v>
      </c>
      <c r="D32" s="526" t="s">
        <v>105</v>
      </c>
      <c r="E32" s="527" t="s">
        <v>105</v>
      </c>
      <c r="F32" s="520">
        <f t="shared" si="0"/>
        <v>699</v>
      </c>
      <c r="G32" s="526" t="s">
        <v>105</v>
      </c>
      <c r="H32" s="521">
        <f t="shared" si="1"/>
        <v>699</v>
      </c>
      <c r="I32" s="528">
        <v>6.1</v>
      </c>
      <c r="J32" s="529">
        <f t="shared" si="2"/>
        <v>4263.9</v>
      </c>
      <c r="L32" s="524">
        <f>+L30/L31</f>
        <v>9.311284046692608</v>
      </c>
    </row>
    <row r="33" spans="1:12" s="516" customFormat="1" ht="14.25">
      <c r="A33" s="517" t="s">
        <v>199</v>
      </c>
      <c r="B33" s="518" t="s">
        <v>105</v>
      </c>
      <c r="C33" s="525">
        <v>1991</v>
      </c>
      <c r="D33" s="526" t="s">
        <v>105</v>
      </c>
      <c r="E33" s="527" t="s">
        <v>105</v>
      </c>
      <c r="F33" s="520">
        <f t="shared" si="0"/>
        <v>1991</v>
      </c>
      <c r="G33" s="526" t="s">
        <v>105</v>
      </c>
      <c r="H33" s="521">
        <f t="shared" si="1"/>
        <v>1991</v>
      </c>
      <c r="I33" s="528">
        <v>7.5</v>
      </c>
      <c r="J33" s="529">
        <f t="shared" si="2"/>
        <v>14932.5</v>
      </c>
      <c r="L33" s="524"/>
    </row>
    <row r="34" spans="1:12" s="516" customFormat="1" ht="14.25">
      <c r="A34" s="517" t="s">
        <v>224</v>
      </c>
      <c r="B34" s="518" t="s">
        <v>105</v>
      </c>
      <c r="C34" s="525">
        <v>553</v>
      </c>
      <c r="D34" s="526" t="s">
        <v>105</v>
      </c>
      <c r="E34" s="527" t="s">
        <v>105</v>
      </c>
      <c r="F34" s="520">
        <f t="shared" si="0"/>
        <v>553</v>
      </c>
      <c r="G34" s="526" t="s">
        <v>105</v>
      </c>
      <c r="H34" s="521">
        <f t="shared" si="1"/>
        <v>553</v>
      </c>
      <c r="I34" s="545">
        <v>9</v>
      </c>
      <c r="J34" s="529">
        <f t="shared" si="2"/>
        <v>4977</v>
      </c>
      <c r="L34" s="524"/>
    </row>
    <row r="35" spans="1:12" s="516" customFormat="1" ht="14.25">
      <c r="A35" s="532" t="s">
        <v>225</v>
      </c>
      <c r="B35" s="518" t="s">
        <v>105</v>
      </c>
      <c r="C35" s="536">
        <v>98</v>
      </c>
      <c r="D35" s="548" t="s">
        <v>105</v>
      </c>
      <c r="E35" s="525">
        <v>1454</v>
      </c>
      <c r="F35" s="520">
        <f t="shared" si="0"/>
        <v>1552</v>
      </c>
      <c r="G35" s="526" t="s">
        <v>105</v>
      </c>
      <c r="H35" s="521">
        <f t="shared" si="1"/>
        <v>1552</v>
      </c>
      <c r="I35" s="545">
        <v>8</v>
      </c>
      <c r="J35" s="529">
        <f t="shared" si="2"/>
        <v>12416</v>
      </c>
      <c r="L35" s="524"/>
    </row>
    <row r="36" spans="1:12" s="516" customFormat="1" ht="14.25">
      <c r="A36" s="517" t="s">
        <v>226</v>
      </c>
      <c r="B36" s="518" t="s">
        <v>105</v>
      </c>
      <c r="C36" s="525">
        <v>4027</v>
      </c>
      <c r="D36" s="526" t="s">
        <v>105</v>
      </c>
      <c r="E36" s="527" t="s">
        <v>105</v>
      </c>
      <c r="F36" s="520">
        <f t="shared" si="0"/>
        <v>4027</v>
      </c>
      <c r="G36" s="526" t="s">
        <v>105</v>
      </c>
      <c r="H36" s="521">
        <f t="shared" si="1"/>
        <v>4027</v>
      </c>
      <c r="I36" s="528">
        <v>4.5</v>
      </c>
      <c r="J36" s="529">
        <f t="shared" si="2"/>
        <v>18121.5</v>
      </c>
      <c r="L36" s="524"/>
    </row>
    <row r="37" spans="1:12" s="516" customFormat="1" ht="14.25">
      <c r="A37" s="517" t="s">
        <v>139</v>
      </c>
      <c r="B37" s="541">
        <v>3525</v>
      </c>
      <c r="C37" s="525">
        <v>1799</v>
      </c>
      <c r="D37" s="521">
        <v>24142</v>
      </c>
      <c r="E37" s="527">
        <v>127</v>
      </c>
      <c r="F37" s="520">
        <f t="shared" si="0"/>
        <v>29593</v>
      </c>
      <c r="G37" s="547">
        <f>156440.027+1.159</f>
        <v>156441.18600000002</v>
      </c>
      <c r="H37" s="540">
        <f t="shared" si="1"/>
        <v>186034.18600000002</v>
      </c>
      <c r="I37" s="531">
        <v>11.29</v>
      </c>
      <c r="J37" s="529">
        <f t="shared" si="2"/>
        <v>2100325.95994</v>
      </c>
      <c r="L37" s="524"/>
    </row>
    <row r="38" spans="1:12" s="516" customFormat="1" ht="14.25">
      <c r="A38" s="517" t="s">
        <v>76</v>
      </c>
      <c r="B38" s="541">
        <v>612</v>
      </c>
      <c r="C38" s="549" t="s">
        <v>105</v>
      </c>
      <c r="D38" s="526" t="s">
        <v>105</v>
      </c>
      <c r="E38" s="527" t="s">
        <v>105</v>
      </c>
      <c r="F38" s="520">
        <f t="shared" si="0"/>
        <v>612</v>
      </c>
      <c r="G38" s="526" t="s">
        <v>105</v>
      </c>
      <c r="H38" s="521">
        <f t="shared" si="1"/>
        <v>612</v>
      </c>
      <c r="I38" s="545">
        <v>11</v>
      </c>
      <c r="J38" s="529">
        <f t="shared" si="2"/>
        <v>6732</v>
      </c>
      <c r="L38" s="524"/>
    </row>
    <row r="39" spans="1:12" s="516" customFormat="1" ht="14.25">
      <c r="A39" s="517" t="s">
        <v>74</v>
      </c>
      <c r="B39" s="518">
        <v>1112</v>
      </c>
      <c r="C39" s="549" t="s">
        <v>105</v>
      </c>
      <c r="D39" s="546">
        <v>425</v>
      </c>
      <c r="E39" s="527" t="s">
        <v>105</v>
      </c>
      <c r="F39" s="520">
        <f aca="true" t="shared" si="3" ref="F39:F60">SUM(B39:E39)</f>
        <v>1537</v>
      </c>
      <c r="G39" s="526">
        <v>4192</v>
      </c>
      <c r="H39" s="521">
        <f aca="true" t="shared" si="4" ref="H39:H60">SUM(F39:G39)</f>
        <v>5729</v>
      </c>
      <c r="I39" s="545">
        <v>23</v>
      </c>
      <c r="J39" s="529">
        <f t="shared" si="2"/>
        <v>131767</v>
      </c>
      <c r="L39" s="524"/>
    </row>
    <row r="40" spans="1:12" s="516" customFormat="1" ht="14.25">
      <c r="A40" s="532" t="s">
        <v>148</v>
      </c>
      <c r="B40" s="518" t="s">
        <v>105</v>
      </c>
      <c r="C40" s="549" t="s">
        <v>105</v>
      </c>
      <c r="D40" s="521">
        <v>12399</v>
      </c>
      <c r="E40" s="525">
        <v>13422</v>
      </c>
      <c r="F40" s="520">
        <f t="shared" si="3"/>
        <v>25821</v>
      </c>
      <c r="G40" s="547">
        <v>10179.669</v>
      </c>
      <c r="H40" s="540">
        <f t="shared" si="4"/>
        <v>36000.669</v>
      </c>
      <c r="I40" s="528">
        <v>5.2</v>
      </c>
      <c r="J40" s="529">
        <f t="shared" si="2"/>
        <v>187203.4788</v>
      </c>
      <c r="L40" s="524"/>
    </row>
    <row r="41" spans="1:12" s="516" customFormat="1" ht="14.25">
      <c r="A41" s="532" t="s">
        <v>80</v>
      </c>
      <c r="B41" s="518" t="s">
        <v>105</v>
      </c>
      <c r="C41" s="549" t="s">
        <v>105</v>
      </c>
      <c r="D41" s="521">
        <v>3631</v>
      </c>
      <c r="E41" s="525">
        <v>2917</v>
      </c>
      <c r="F41" s="520">
        <f t="shared" si="3"/>
        <v>6548</v>
      </c>
      <c r="G41" s="526" t="s">
        <v>105</v>
      </c>
      <c r="H41" s="521">
        <f t="shared" si="4"/>
        <v>6548</v>
      </c>
      <c r="I41" s="528">
        <v>11.4</v>
      </c>
      <c r="J41" s="529">
        <f t="shared" si="2"/>
        <v>74647.2</v>
      </c>
      <c r="L41" s="524"/>
    </row>
    <row r="42" spans="1:12" s="516" customFormat="1" ht="14.25">
      <c r="A42" s="550" t="s">
        <v>227</v>
      </c>
      <c r="B42" s="551">
        <v>2093</v>
      </c>
      <c r="C42" s="536">
        <v>64</v>
      </c>
      <c r="D42" s="521">
        <v>1968</v>
      </c>
      <c r="E42" s="527" t="s">
        <v>105</v>
      </c>
      <c r="F42" s="520">
        <f t="shared" si="3"/>
        <v>4125</v>
      </c>
      <c r="G42" s="526" t="s">
        <v>105</v>
      </c>
      <c r="H42" s="521">
        <f t="shared" si="4"/>
        <v>4125</v>
      </c>
      <c r="I42" s="545">
        <v>16</v>
      </c>
      <c r="J42" s="529">
        <f t="shared" si="2"/>
        <v>66000</v>
      </c>
      <c r="L42" s="524"/>
    </row>
    <row r="43" spans="1:12" s="516" customFormat="1" ht="14.25">
      <c r="A43" s="517" t="s">
        <v>72</v>
      </c>
      <c r="B43" s="518">
        <v>2307</v>
      </c>
      <c r="C43" s="525">
        <v>371</v>
      </c>
      <c r="D43" s="521">
        <v>2141</v>
      </c>
      <c r="E43" s="527" t="s">
        <v>105</v>
      </c>
      <c r="F43" s="520">
        <f t="shared" si="3"/>
        <v>4819</v>
      </c>
      <c r="G43" s="526" t="s">
        <v>105</v>
      </c>
      <c r="H43" s="521">
        <f t="shared" si="4"/>
        <v>4819</v>
      </c>
      <c r="I43" s="531">
        <v>10.27</v>
      </c>
      <c r="J43" s="529">
        <f t="shared" si="2"/>
        <v>49491.13</v>
      </c>
      <c r="L43" s="524"/>
    </row>
    <row r="44" spans="1:12" s="516" customFormat="1" ht="14.25">
      <c r="A44" s="517" t="s">
        <v>192</v>
      </c>
      <c r="B44" s="518" t="s">
        <v>105</v>
      </c>
      <c r="C44" s="525">
        <v>138</v>
      </c>
      <c r="D44" s="526" t="s">
        <v>105</v>
      </c>
      <c r="E44" s="527" t="s">
        <v>105</v>
      </c>
      <c r="F44" s="520">
        <f t="shared" si="3"/>
        <v>138</v>
      </c>
      <c r="G44" s="526" t="s">
        <v>105</v>
      </c>
      <c r="H44" s="521">
        <f t="shared" si="4"/>
        <v>138</v>
      </c>
      <c r="I44" s="528">
        <v>12.3</v>
      </c>
      <c r="J44" s="529">
        <f t="shared" si="2"/>
        <v>1697.4</v>
      </c>
      <c r="L44" s="524"/>
    </row>
    <row r="45" spans="1:12" s="516" customFormat="1" ht="14.25">
      <c r="A45" s="535" t="s">
        <v>68</v>
      </c>
      <c r="B45" s="518" t="s">
        <v>105</v>
      </c>
      <c r="C45" s="527" t="s">
        <v>105</v>
      </c>
      <c r="D45" s="548" t="s">
        <v>105</v>
      </c>
      <c r="E45" s="538">
        <v>2111</v>
      </c>
      <c r="F45" s="520">
        <f t="shared" si="3"/>
        <v>2111</v>
      </c>
      <c r="G45" s="526" t="s">
        <v>105</v>
      </c>
      <c r="H45" s="521">
        <f t="shared" si="4"/>
        <v>2111</v>
      </c>
      <c r="I45" s="545">
        <v>6</v>
      </c>
      <c r="J45" s="529">
        <f t="shared" si="2"/>
        <v>12666</v>
      </c>
      <c r="L45" s="524"/>
    </row>
    <row r="46" spans="1:12" s="516" customFormat="1" ht="14.25">
      <c r="A46" s="517" t="s">
        <v>78</v>
      </c>
      <c r="B46" s="518">
        <v>1153</v>
      </c>
      <c r="C46" s="527" t="s">
        <v>105</v>
      </c>
      <c r="D46" s="521">
        <v>79</v>
      </c>
      <c r="E46" s="527" t="s">
        <v>105</v>
      </c>
      <c r="F46" s="520">
        <f t="shared" si="3"/>
        <v>1232</v>
      </c>
      <c r="G46" s="526" t="s">
        <v>105</v>
      </c>
      <c r="H46" s="521">
        <f t="shared" si="4"/>
        <v>1232</v>
      </c>
      <c r="I46" s="545">
        <v>20</v>
      </c>
      <c r="J46" s="529">
        <f t="shared" si="2"/>
        <v>24640</v>
      </c>
      <c r="L46" s="524"/>
    </row>
    <row r="47" spans="1:12" s="516" customFormat="1" ht="14.25">
      <c r="A47" s="517" t="s">
        <v>228</v>
      </c>
      <c r="B47" s="518" t="s">
        <v>105</v>
      </c>
      <c r="C47" s="527" t="s">
        <v>105</v>
      </c>
      <c r="D47" s="526" t="s">
        <v>105</v>
      </c>
      <c r="E47" s="527" t="s">
        <v>105</v>
      </c>
      <c r="F47" s="520">
        <f t="shared" si="3"/>
        <v>0</v>
      </c>
      <c r="G47" s="539">
        <v>126179.765</v>
      </c>
      <c r="H47" s="540">
        <f t="shared" si="4"/>
        <v>126179.765</v>
      </c>
      <c r="I47" s="545">
        <v>5</v>
      </c>
      <c r="J47" s="529">
        <f t="shared" si="2"/>
        <v>630898.825</v>
      </c>
      <c r="K47" s="552"/>
      <c r="L47" s="524"/>
    </row>
    <row r="48" spans="1:12" s="516" customFormat="1" ht="14.25">
      <c r="A48" s="517" t="s">
        <v>150</v>
      </c>
      <c r="B48" s="518" t="s">
        <v>105</v>
      </c>
      <c r="C48" s="527" t="s">
        <v>105</v>
      </c>
      <c r="D48" s="521">
        <v>4217</v>
      </c>
      <c r="E48" s="527">
        <v>22317</v>
      </c>
      <c r="F48" s="520">
        <f t="shared" si="3"/>
        <v>26534</v>
      </c>
      <c r="G48" s="526" t="s">
        <v>105</v>
      </c>
      <c r="H48" s="521">
        <f t="shared" si="4"/>
        <v>26534</v>
      </c>
      <c r="I48" s="545">
        <v>6</v>
      </c>
      <c r="J48" s="529">
        <f t="shared" si="2"/>
        <v>159204</v>
      </c>
      <c r="L48" s="524"/>
    </row>
    <row r="49" spans="1:12" s="516" customFormat="1" ht="14.25">
      <c r="A49" s="517" t="s">
        <v>229</v>
      </c>
      <c r="B49" s="518" t="s">
        <v>105</v>
      </c>
      <c r="C49" s="527" t="s">
        <v>105</v>
      </c>
      <c r="D49" s="526" t="s">
        <v>105</v>
      </c>
      <c r="E49" s="527" t="s">
        <v>105</v>
      </c>
      <c r="F49" s="520">
        <f t="shared" si="3"/>
        <v>0</v>
      </c>
      <c r="G49" s="553">
        <v>17602.5</v>
      </c>
      <c r="H49" s="554">
        <f t="shared" si="4"/>
        <v>17602.5</v>
      </c>
      <c r="I49" s="545">
        <v>5</v>
      </c>
      <c r="J49" s="529">
        <f t="shared" si="2"/>
        <v>88012.5</v>
      </c>
      <c r="L49" s="524"/>
    </row>
    <row r="50" spans="1:12" s="516" customFormat="1" ht="14.25">
      <c r="A50" s="517" t="s">
        <v>230</v>
      </c>
      <c r="B50" s="518">
        <v>1553</v>
      </c>
      <c r="C50" s="525">
        <v>584</v>
      </c>
      <c r="D50" s="526" t="s">
        <v>105</v>
      </c>
      <c r="E50" s="527" t="s">
        <v>105</v>
      </c>
      <c r="F50" s="520">
        <f t="shared" si="3"/>
        <v>2137</v>
      </c>
      <c r="G50" s="526" t="s">
        <v>105</v>
      </c>
      <c r="H50" s="521">
        <f t="shared" si="4"/>
        <v>2137</v>
      </c>
      <c r="I50" s="528">
        <v>5.1</v>
      </c>
      <c r="J50" s="529">
        <f t="shared" si="2"/>
        <v>10898.699999999999</v>
      </c>
      <c r="L50" s="524"/>
    </row>
    <row r="51" spans="1:12" s="516" customFormat="1" ht="14.25">
      <c r="A51" s="517" t="s">
        <v>81</v>
      </c>
      <c r="B51" s="518">
        <v>994</v>
      </c>
      <c r="C51" s="525">
        <v>275</v>
      </c>
      <c r="D51" s="526" t="s">
        <v>105</v>
      </c>
      <c r="E51" s="527" t="s">
        <v>105</v>
      </c>
      <c r="F51" s="520">
        <f t="shared" si="3"/>
        <v>1269</v>
      </c>
      <c r="G51" s="526" t="s">
        <v>105</v>
      </c>
      <c r="H51" s="521">
        <f t="shared" si="4"/>
        <v>1269</v>
      </c>
      <c r="I51" s="528">
        <v>6.3</v>
      </c>
      <c r="J51" s="529">
        <f t="shared" si="2"/>
        <v>7994.7</v>
      </c>
      <c r="L51" s="524"/>
    </row>
    <row r="52" spans="1:12" s="516" customFormat="1" ht="14.25">
      <c r="A52" s="517" t="s">
        <v>231</v>
      </c>
      <c r="B52" s="518">
        <v>1112</v>
      </c>
      <c r="C52" s="525">
        <v>2188</v>
      </c>
      <c r="D52" s="546">
        <v>26</v>
      </c>
      <c r="E52" s="527" t="s">
        <v>105</v>
      </c>
      <c r="F52" s="520">
        <f t="shared" si="3"/>
        <v>3326</v>
      </c>
      <c r="G52" s="526" t="s">
        <v>105</v>
      </c>
      <c r="H52" s="521">
        <f t="shared" si="4"/>
        <v>3326</v>
      </c>
      <c r="I52" s="528">
        <v>5.3</v>
      </c>
      <c r="J52" s="529">
        <f t="shared" si="2"/>
        <v>17627.8</v>
      </c>
      <c r="L52" s="524"/>
    </row>
    <row r="53" spans="1:12" s="516" customFormat="1" ht="14.25">
      <c r="A53" s="517" t="s">
        <v>232</v>
      </c>
      <c r="B53" s="518">
        <v>3039</v>
      </c>
      <c r="C53" s="525">
        <v>855</v>
      </c>
      <c r="D53" s="526" t="s">
        <v>105</v>
      </c>
      <c r="E53" s="527" t="s">
        <v>105</v>
      </c>
      <c r="F53" s="520">
        <f t="shared" si="3"/>
        <v>3894</v>
      </c>
      <c r="G53" s="526" t="s">
        <v>105</v>
      </c>
      <c r="H53" s="521">
        <f t="shared" si="4"/>
        <v>3894</v>
      </c>
      <c r="I53" s="531">
        <v>3.26</v>
      </c>
      <c r="J53" s="529">
        <f t="shared" si="2"/>
        <v>12694.439999999999</v>
      </c>
      <c r="L53" s="524"/>
    </row>
    <row r="54" spans="1:12" s="516" customFormat="1" ht="14.25">
      <c r="A54" s="517" t="s">
        <v>70</v>
      </c>
      <c r="B54" s="518">
        <v>778</v>
      </c>
      <c r="C54" s="527" t="s">
        <v>105</v>
      </c>
      <c r="D54" s="521">
        <v>1116</v>
      </c>
      <c r="E54" s="527" t="s">
        <v>105</v>
      </c>
      <c r="F54" s="520">
        <f t="shared" si="3"/>
        <v>1894</v>
      </c>
      <c r="G54" s="526" t="s">
        <v>105</v>
      </c>
      <c r="H54" s="521">
        <f t="shared" si="4"/>
        <v>1894</v>
      </c>
      <c r="I54" s="528">
        <v>14.5</v>
      </c>
      <c r="J54" s="529">
        <f t="shared" si="2"/>
        <v>27463</v>
      </c>
      <c r="L54" s="524"/>
    </row>
    <row r="55" spans="1:12" s="516" customFormat="1" ht="14.25">
      <c r="A55" s="517" t="s">
        <v>69</v>
      </c>
      <c r="B55" s="518">
        <v>343</v>
      </c>
      <c r="C55" s="527" t="s">
        <v>105</v>
      </c>
      <c r="D55" s="526" t="s">
        <v>105</v>
      </c>
      <c r="E55" s="527" t="s">
        <v>105</v>
      </c>
      <c r="F55" s="520">
        <f t="shared" si="3"/>
        <v>343</v>
      </c>
      <c r="G55" s="526" t="s">
        <v>105</v>
      </c>
      <c r="H55" s="521">
        <f t="shared" si="4"/>
        <v>343</v>
      </c>
      <c r="I55" s="545">
        <v>40</v>
      </c>
      <c r="J55" s="529">
        <f t="shared" si="2"/>
        <v>13720</v>
      </c>
      <c r="L55" s="524"/>
    </row>
    <row r="56" spans="1:12" s="516" customFormat="1" ht="14.25">
      <c r="A56" s="517" t="s">
        <v>88</v>
      </c>
      <c r="B56" s="518">
        <v>640</v>
      </c>
      <c r="C56" s="527" t="s">
        <v>105</v>
      </c>
      <c r="D56" s="521">
        <v>1782</v>
      </c>
      <c r="E56" s="527" t="s">
        <v>105</v>
      </c>
      <c r="F56" s="520">
        <f t="shared" si="3"/>
        <v>2422</v>
      </c>
      <c r="G56" s="526" t="s">
        <v>105</v>
      </c>
      <c r="H56" s="521">
        <f t="shared" si="4"/>
        <v>2422</v>
      </c>
      <c r="I56" s="545">
        <v>10</v>
      </c>
      <c r="J56" s="529">
        <f t="shared" si="2"/>
        <v>24220</v>
      </c>
      <c r="L56" s="524"/>
    </row>
    <row r="57" spans="1:12" s="516" customFormat="1" ht="14.25">
      <c r="A57" s="517" t="s">
        <v>193</v>
      </c>
      <c r="B57" s="518" t="s">
        <v>105</v>
      </c>
      <c r="C57" s="525">
        <v>2375</v>
      </c>
      <c r="D57" s="526" t="s">
        <v>105</v>
      </c>
      <c r="E57" s="527" t="s">
        <v>105</v>
      </c>
      <c r="F57" s="520">
        <f t="shared" si="3"/>
        <v>2375</v>
      </c>
      <c r="G57" s="526" t="s">
        <v>105</v>
      </c>
      <c r="H57" s="521">
        <f t="shared" si="4"/>
        <v>2375</v>
      </c>
      <c r="I57" s="545">
        <v>15</v>
      </c>
      <c r="J57" s="529">
        <f t="shared" si="2"/>
        <v>35625</v>
      </c>
      <c r="L57" s="524"/>
    </row>
    <row r="58" spans="1:12" s="516" customFormat="1" ht="14.25">
      <c r="A58" s="517" t="s">
        <v>233</v>
      </c>
      <c r="B58" s="518">
        <v>1094</v>
      </c>
      <c r="C58" s="525">
        <v>3094</v>
      </c>
      <c r="D58" s="521">
        <v>8</v>
      </c>
      <c r="E58" s="527" t="s">
        <v>105</v>
      </c>
      <c r="F58" s="520">
        <f t="shared" si="3"/>
        <v>4196</v>
      </c>
      <c r="G58" s="526" t="s">
        <v>105</v>
      </c>
      <c r="H58" s="521">
        <f t="shared" si="4"/>
        <v>4196</v>
      </c>
      <c r="I58" s="531">
        <v>18.67</v>
      </c>
      <c r="J58" s="529">
        <f t="shared" si="2"/>
        <v>78339.32</v>
      </c>
      <c r="L58" s="524"/>
    </row>
    <row r="59" spans="1:13" s="516" customFormat="1" ht="15" thickBot="1">
      <c r="A59" s="550" t="s">
        <v>194</v>
      </c>
      <c r="B59" s="555">
        <f>4136+384</f>
        <v>4520</v>
      </c>
      <c r="C59" s="556">
        <f>8749+662+3+324</f>
        <v>9738</v>
      </c>
      <c r="D59" s="557">
        <f>7260+32+39</f>
        <v>7331</v>
      </c>
      <c r="E59" s="556">
        <v>2950</v>
      </c>
      <c r="F59" s="520">
        <f t="shared" si="3"/>
        <v>24539</v>
      </c>
      <c r="G59" s="547" t="s">
        <v>105</v>
      </c>
      <c r="H59" s="521">
        <f t="shared" si="4"/>
        <v>24539</v>
      </c>
      <c r="I59" s="558">
        <v>7</v>
      </c>
      <c r="J59" s="559">
        <f t="shared" si="2"/>
        <v>171773</v>
      </c>
      <c r="K59" s="560"/>
      <c r="L59" s="543">
        <f>+C59+C57+C20+C44+C10+C22</f>
        <v>22000</v>
      </c>
      <c r="M59" s="516" t="s">
        <v>234</v>
      </c>
    </row>
    <row r="60" spans="1:12" s="516" customFormat="1" ht="15.75" thickBot="1" thickTop="1">
      <c r="A60" s="506" t="s">
        <v>195</v>
      </c>
      <c r="B60" s="561">
        <f>SUM(B7:B59)</f>
        <v>56721</v>
      </c>
      <c r="C60" s="562">
        <f>SUM(C7:C59)</f>
        <v>50732</v>
      </c>
      <c r="D60" s="563">
        <f>SUM(D7:D59)</f>
        <v>158297</v>
      </c>
      <c r="E60" s="882">
        <f>SUM(E7:E59)</f>
        <v>83803</v>
      </c>
      <c r="F60" s="563">
        <f t="shared" si="3"/>
        <v>349553</v>
      </c>
      <c r="G60" s="564">
        <f>SUM(G7:G59)</f>
        <v>539746.665</v>
      </c>
      <c r="H60" s="565">
        <f t="shared" si="4"/>
        <v>889299.665</v>
      </c>
      <c r="I60" s="566"/>
      <c r="J60" s="567">
        <f>SUM(J7:J59)</f>
        <v>7814097.754300001</v>
      </c>
      <c r="L60" s="524"/>
    </row>
    <row r="61" spans="1:12" s="516" customFormat="1" ht="15" thickTop="1">
      <c r="A61" s="1130" t="s">
        <v>235</v>
      </c>
      <c r="B61" s="1131"/>
      <c r="C61" s="1131"/>
      <c r="D61" s="1131"/>
      <c r="E61" s="1131"/>
      <c r="F61" s="1131"/>
      <c r="G61" s="1131"/>
      <c r="H61" s="1131"/>
      <c r="I61" s="1131"/>
      <c r="J61" s="1131"/>
      <c r="L61" s="524"/>
    </row>
    <row r="62" spans="1:12" s="516" customFormat="1" ht="14.25">
      <c r="A62" s="1132"/>
      <c r="B62" s="1132"/>
      <c r="C62" s="1132"/>
      <c r="D62" s="1132"/>
      <c r="E62" s="1132"/>
      <c r="F62" s="1132"/>
      <c r="G62" s="1132"/>
      <c r="H62" s="1132"/>
      <c r="I62" s="1132"/>
      <c r="J62" s="1132"/>
      <c r="L62" s="524"/>
    </row>
    <row r="63" spans="1:9" ht="12.75">
      <c r="A63" s="1126" t="s">
        <v>236</v>
      </c>
      <c r="B63" s="1126"/>
      <c r="C63" s="1126"/>
      <c r="D63" s="1126"/>
      <c r="E63" s="1126"/>
      <c r="F63" s="1126"/>
      <c r="G63" s="1126"/>
      <c r="H63" s="1126"/>
      <c r="I63" s="1126"/>
    </row>
    <row r="64" spans="1:10" ht="12.75">
      <c r="A64" s="1126" t="s">
        <v>237</v>
      </c>
      <c r="B64" s="1126"/>
      <c r="C64" s="1126"/>
      <c r="D64" s="1126"/>
      <c r="E64" s="1126"/>
      <c r="F64" s="1126"/>
      <c r="G64" s="1126"/>
      <c r="H64" s="1126"/>
      <c r="I64" s="1126"/>
      <c r="J64" s="1126"/>
    </row>
    <row r="65" spans="1:5" ht="12.75">
      <c r="A65" s="568"/>
      <c r="E65" s="570"/>
    </row>
    <row r="66" spans="1:5" ht="12.75">
      <c r="A66" s="568"/>
      <c r="E66" s="570"/>
    </row>
    <row r="67" ht="12.75">
      <c r="D67" s="568"/>
    </row>
    <row r="68" ht="12.75">
      <c r="C68" s="570"/>
    </row>
  </sheetData>
  <sheetProtection/>
  <mergeCells count="6">
    <mergeCell ref="A64:J64"/>
    <mergeCell ref="A1:J1"/>
    <mergeCell ref="A4:J4"/>
    <mergeCell ref="A5:J5"/>
    <mergeCell ref="A61:J62"/>
    <mergeCell ref="A63:I6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3">
      <selection activeCell="A2" sqref="A2"/>
      <selection activeCell="A3" sqref="A3"/>
    </sheetView>
  </sheetViews>
  <sheetFormatPr defaultColWidth="9.140625" defaultRowHeight="12.75"/>
  <cols>
    <col min="1" max="1" width="29.7109375" style="28" customWidth="1"/>
    <col min="2" max="2" width="28.7109375" style="28" customWidth="1"/>
    <col min="3" max="3" width="18.7109375" style="28" customWidth="1"/>
    <col min="4" max="4" width="10.7109375" style="28" customWidth="1"/>
    <col min="5" max="5" width="9.140625" style="4" customWidth="1"/>
    <col min="6" max="6" width="18.57421875" style="1122" bestFit="1" customWidth="1"/>
    <col min="7" max="7" width="15.28125" style="1123" bestFit="1" customWidth="1"/>
    <col min="8" max="8" width="10.7109375" style="4" customWidth="1"/>
  </cols>
  <sheetData>
    <row r="1" ht="15" customHeight="1">
      <c r="A1" s="27" t="s">
        <v>0</v>
      </c>
    </row>
    <row r="2" ht="15" customHeight="1">
      <c r="A2" s="27" t="s">
        <v>1</v>
      </c>
    </row>
    <row r="3" ht="15" customHeight="1">
      <c r="A3" s="27" t="s">
        <v>2</v>
      </c>
    </row>
    <row r="4" ht="13.5" customHeight="1">
      <c r="A4" s="54"/>
    </row>
    <row r="5" spans="1:5" ht="27.75" customHeight="1">
      <c r="A5" s="1316" t="s">
        <v>53</v>
      </c>
      <c r="B5" s="1316"/>
      <c r="C5" s="1316"/>
      <c r="D5" s="1316"/>
      <c r="E5" s="853"/>
    </row>
    <row r="6" spans="1:5" ht="27.75" customHeight="1">
      <c r="A6" s="1316" t="s">
        <v>329</v>
      </c>
      <c r="B6" s="1316"/>
      <c r="C6" s="1316"/>
      <c r="D6" s="1316"/>
      <c r="E6" s="853"/>
    </row>
    <row r="7" spans="1:5" ht="13.5" customHeight="1" thickBot="1">
      <c r="A7" s="29" t="s">
        <v>16</v>
      </c>
      <c r="B7" s="29"/>
      <c r="C7" s="854"/>
      <c r="D7" s="854"/>
      <c r="E7" s="855"/>
    </row>
    <row r="8" spans="1:5" ht="27.75" customHeight="1" thickBot="1" thickTop="1">
      <c r="A8" s="1314" t="s">
        <v>54</v>
      </c>
      <c r="B8" s="1315"/>
      <c r="C8" s="856" t="s">
        <v>178</v>
      </c>
      <c r="D8" s="856" t="s">
        <v>15</v>
      </c>
      <c r="E8" s="10"/>
    </row>
    <row r="9" spans="1:5" ht="27.75" customHeight="1" thickBot="1" thickTop="1">
      <c r="A9" s="857" t="s">
        <v>56</v>
      </c>
      <c r="B9" s="858" t="s">
        <v>169</v>
      </c>
      <c r="C9" s="859">
        <f>'10'!$B$60</f>
        <v>56721</v>
      </c>
      <c r="D9" s="860">
        <f aca="true" t="shared" si="0" ref="D9:D27">+C9/$C$28*100</f>
        <v>6.378165002457299</v>
      </c>
      <c r="E9" s="10"/>
    </row>
    <row r="10" spans="1:7" ht="27.75" customHeight="1" thickBot="1" thickTop="1">
      <c r="A10" s="861"/>
      <c r="B10" s="862" t="s">
        <v>12</v>
      </c>
      <c r="C10" s="863">
        <f>'10'!$C$60</f>
        <v>50732</v>
      </c>
      <c r="D10" s="860">
        <f t="shared" si="0"/>
        <v>5.704713719868543</v>
      </c>
      <c r="E10" s="13"/>
      <c r="F10" s="1122">
        <f>SUM(C9:C10)</f>
        <v>107453</v>
      </c>
      <c r="G10" s="1123">
        <f>+F10/C28</f>
        <v>0.12082878722325842</v>
      </c>
    </row>
    <row r="11" spans="1:5" ht="27.75" customHeight="1" thickBot="1" thickTop="1">
      <c r="A11" s="857" t="s">
        <v>6</v>
      </c>
      <c r="B11" s="864" t="s">
        <v>4</v>
      </c>
      <c r="C11" s="859">
        <f>'33'!$B$38</f>
        <v>39857</v>
      </c>
      <c r="D11" s="860">
        <f t="shared" si="0"/>
        <v>4.481841337475371</v>
      </c>
      <c r="E11" s="13"/>
    </row>
    <row r="12" spans="1:4" ht="27.75" customHeight="1" thickBot="1" thickTop="1">
      <c r="A12" s="865"/>
      <c r="B12" s="864" t="s">
        <v>5</v>
      </c>
      <c r="C12" s="859">
        <f>'33'!$C$38</f>
        <v>53909</v>
      </c>
      <c r="D12" s="860">
        <f t="shared" si="0"/>
        <v>6.061961127580094</v>
      </c>
    </row>
    <row r="13" spans="1:4" ht="27.75" customHeight="1" thickBot="1" thickTop="1">
      <c r="A13" s="865"/>
      <c r="B13" s="864" t="s">
        <v>170</v>
      </c>
      <c r="C13" s="859">
        <f>'33'!$D$38</f>
        <v>9619</v>
      </c>
      <c r="D13" s="860">
        <f t="shared" si="0"/>
        <v>1.0816376502289586</v>
      </c>
    </row>
    <row r="14" spans="1:7" ht="27.75" customHeight="1" thickBot="1" thickTop="1">
      <c r="A14" s="865"/>
      <c r="B14" s="864" t="s">
        <v>171</v>
      </c>
      <c r="C14" s="859">
        <f>'33'!$E$38</f>
        <v>5292</v>
      </c>
      <c r="D14" s="860">
        <f t="shared" si="0"/>
        <v>0.5950750020804292</v>
      </c>
      <c r="F14" s="1122">
        <f>SUM(C11:C14)</f>
        <v>108677</v>
      </c>
      <c r="G14" s="1123">
        <f>+F14/C28</f>
        <v>0.12220515117364852</v>
      </c>
    </row>
    <row r="15" spans="1:5" ht="27.75" customHeight="1" thickBot="1" thickTop="1">
      <c r="A15" s="866" t="s">
        <v>98</v>
      </c>
      <c r="B15" s="864" t="s">
        <v>99</v>
      </c>
      <c r="C15" s="863">
        <f>'33'!$F$38</f>
        <v>3534</v>
      </c>
      <c r="D15" s="860">
        <f t="shared" si="0"/>
        <v>0.397391356264595</v>
      </c>
      <c r="E15" s="13"/>
    </row>
    <row r="16" spans="1:7" ht="27.75" customHeight="1" thickBot="1" thickTop="1">
      <c r="A16" s="861"/>
      <c r="B16" s="864" t="s">
        <v>7</v>
      </c>
      <c r="C16" s="859">
        <f>'33'!$G$38</f>
        <v>152</v>
      </c>
      <c r="D16" s="860">
        <f t="shared" si="0"/>
        <v>0.017092101344713763</v>
      </c>
      <c r="E16" s="13"/>
      <c r="F16" s="1122">
        <f>SUM(C15:C16)</f>
        <v>3686</v>
      </c>
      <c r="G16" s="1123">
        <f>+F16/C28</f>
        <v>0.004144834576093087</v>
      </c>
    </row>
    <row r="17" spans="1:4" ht="27.75" customHeight="1" thickBot="1" thickTop="1">
      <c r="A17" s="857" t="s">
        <v>10</v>
      </c>
      <c r="B17" s="864" t="s">
        <v>172</v>
      </c>
      <c r="C17" s="859">
        <f>'33'!$H$38</f>
        <v>3037</v>
      </c>
      <c r="D17" s="860">
        <f t="shared" si="0"/>
        <v>0.34150468278878754</v>
      </c>
    </row>
    <row r="18" spans="1:4" ht="27.75" customHeight="1" thickBot="1" thickTop="1">
      <c r="A18" s="865"/>
      <c r="B18" s="864" t="s">
        <v>21</v>
      </c>
      <c r="C18" s="859">
        <f>'33'!$I$38</f>
        <v>1992</v>
      </c>
      <c r="D18" s="860">
        <f t="shared" si="0"/>
        <v>0.22399648604388037</v>
      </c>
    </row>
    <row r="19" spans="1:4" ht="27.75" customHeight="1" thickBot="1" thickTop="1">
      <c r="A19" s="865"/>
      <c r="B19" s="864" t="s">
        <v>8</v>
      </c>
      <c r="C19" s="859">
        <f>'33'!$J$38</f>
        <v>30571</v>
      </c>
      <c r="D19" s="860">
        <f t="shared" si="0"/>
        <v>3.437648882955556</v>
      </c>
    </row>
    <row r="20" spans="1:4" ht="27.75" customHeight="1" thickBot="1" thickTop="1">
      <c r="A20" s="865"/>
      <c r="B20" s="864" t="s">
        <v>165</v>
      </c>
      <c r="C20" s="859">
        <f>'33'!$K$38</f>
        <v>4045</v>
      </c>
      <c r="D20" s="860">
        <f t="shared" si="0"/>
        <v>0.45485230223267875</v>
      </c>
    </row>
    <row r="21" spans="1:7" ht="27.75" customHeight="1" thickBot="1" thickTop="1">
      <c r="A21" s="865"/>
      <c r="B21" s="864" t="s">
        <v>55</v>
      </c>
      <c r="C21" s="859">
        <f>'33'!$L$38</f>
        <v>6289</v>
      </c>
      <c r="D21" s="860">
        <f t="shared" si="0"/>
        <v>0.707185693137532</v>
      </c>
      <c r="F21" s="1122">
        <f>SUM(C17:C21)</f>
        <v>45934</v>
      </c>
      <c r="G21" s="1123">
        <f>+F21/C28</f>
        <v>0.051651880471584345</v>
      </c>
    </row>
    <row r="22" spans="1:7" ht="27.75" customHeight="1" thickBot="1" thickTop="1">
      <c r="A22" s="857" t="s">
        <v>173</v>
      </c>
      <c r="B22" s="864" t="s">
        <v>173</v>
      </c>
      <c r="C22" s="859">
        <f>'10'!$E$60</f>
        <v>83803</v>
      </c>
      <c r="D22" s="860">
        <f t="shared" si="0"/>
        <v>9.423482690730575</v>
      </c>
      <c r="F22" s="1124">
        <f>SUM($C$9:$C$22)</f>
        <v>349553</v>
      </c>
      <c r="G22" s="1123">
        <f>+C22/C28</f>
        <v>0.09423482690730575</v>
      </c>
    </row>
    <row r="23" spans="1:6" ht="27.75" customHeight="1" thickBot="1" thickTop="1">
      <c r="A23" s="857" t="s">
        <v>174</v>
      </c>
      <c r="B23" s="864" t="s">
        <v>25</v>
      </c>
      <c r="C23" s="867">
        <f>'17'!$D$41</f>
        <v>7587.665</v>
      </c>
      <c r="D23" s="860">
        <f t="shared" si="0"/>
        <v>0.8532180207219577</v>
      </c>
      <c r="F23" s="1124">
        <f>+$C$23+$C$24+$C$27</f>
        <v>502305.665</v>
      </c>
    </row>
    <row r="24" spans="1:4" ht="27.75" customHeight="1" thickBot="1" thickTop="1">
      <c r="A24" s="868"/>
      <c r="B24" s="864" t="s">
        <v>60</v>
      </c>
      <c r="C24" s="859">
        <f>'17'!$F$44</f>
        <v>492246</v>
      </c>
      <c r="D24" s="860">
        <f t="shared" si="0"/>
        <v>55.35209551664455</v>
      </c>
    </row>
    <row r="25" spans="1:4" ht="27.75" customHeight="1" thickBot="1" thickTop="1">
      <c r="A25" s="868"/>
      <c r="B25" s="864" t="s">
        <v>47</v>
      </c>
      <c r="C25" s="859">
        <f>'17'!$I$41</f>
        <v>19838.5</v>
      </c>
      <c r="D25" s="860">
        <f t="shared" si="0"/>
        <v>2.2308003455730527</v>
      </c>
    </row>
    <row r="26" spans="1:4" ht="27.75" customHeight="1" thickBot="1" thickTop="1">
      <c r="A26" s="868"/>
      <c r="B26" s="864" t="s">
        <v>13</v>
      </c>
      <c r="C26" s="869">
        <f>'17'!$J$41</f>
        <v>17602.5</v>
      </c>
      <c r="D26" s="860">
        <f t="shared" si="0"/>
        <v>1.9793665389495</v>
      </c>
    </row>
    <row r="27" spans="1:8" ht="27.75" customHeight="1" thickBot="1" thickTop="1">
      <c r="A27" s="868"/>
      <c r="B27" s="864" t="s">
        <v>166</v>
      </c>
      <c r="C27" s="870">
        <f>'17'!$K$41</f>
        <v>2472</v>
      </c>
      <c r="D27" s="860">
        <f t="shared" si="0"/>
        <v>0.27797154292192383</v>
      </c>
      <c r="F27" s="1122">
        <f>SUM(C23:C27)</f>
        <v>539746.665</v>
      </c>
      <c r="G27" s="1123">
        <f>+F27/C28</f>
        <v>0.6069345196481098</v>
      </c>
      <c r="H27" s="4">
        <f>+C28-F27</f>
        <v>349553</v>
      </c>
    </row>
    <row r="28" spans="1:4" ht="25.5" customHeight="1" thickBot="1" thickTop="1">
      <c r="A28" s="1314" t="s">
        <v>14</v>
      </c>
      <c r="B28" s="1315"/>
      <c r="C28" s="871">
        <f>SUM(C9:C27)</f>
        <v>889299.665</v>
      </c>
      <c r="D28" s="860">
        <f>SUM(D9:D27)</f>
        <v>100.00000000000001</v>
      </c>
    </row>
    <row r="29" ht="18.75" thickTop="1"/>
    <row r="30" spans="1:4" ht="30.75">
      <c r="A30" s="872" t="s">
        <v>179</v>
      </c>
      <c r="B30" s="873"/>
      <c r="C30" s="873"/>
      <c r="D30" s="873"/>
    </row>
    <row r="60" ht="18">
      <c r="E60" s="11"/>
    </row>
  </sheetData>
  <sheetProtection/>
  <mergeCells count="4">
    <mergeCell ref="A28:B28"/>
    <mergeCell ref="A8:B8"/>
    <mergeCell ref="A5:D5"/>
    <mergeCell ref="A6:D6"/>
  </mergeCells>
  <printOptions/>
  <pageMargins left="1.18110236220472" right="0.196850393700787" top="0" bottom="0.590551181102362" header="0.511811023622047" footer="1.18110236220472"/>
  <pageSetup horizontalDpi="300" verticalDpi="300" orientation="portrait" paperSize="9" r:id="rId1"/>
  <headerFooter alignWithMargins="0">
    <oddFooter>&amp;C[ 1 ]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1" sqref="A1"/>
      <selection activeCell="Q12" sqref="Q12"/>
    </sheetView>
  </sheetViews>
  <sheetFormatPr defaultColWidth="9.140625" defaultRowHeight="12.75"/>
  <cols>
    <col min="1" max="1" width="18.421875" style="28" customWidth="1"/>
    <col min="2" max="13" width="9.140625" style="28" customWidth="1"/>
    <col min="14" max="14" width="9.140625" style="4" customWidth="1"/>
  </cols>
  <sheetData>
    <row r="1" ht="12.75">
      <c r="A1" s="27" t="s">
        <v>0</v>
      </c>
    </row>
    <row r="2" ht="12.75">
      <c r="A2" s="27" t="s">
        <v>1</v>
      </c>
    </row>
    <row r="3" ht="12.75">
      <c r="A3" s="27" t="s">
        <v>2</v>
      </c>
    </row>
    <row r="4" ht="12.75">
      <c r="A4" s="54"/>
    </row>
    <row r="5" spans="1:4" ht="12.75">
      <c r="A5" s="874" t="s">
        <v>56</v>
      </c>
      <c r="B5" s="875">
        <f>Pr2005!$F$10</f>
        <v>107453</v>
      </c>
      <c r="C5" s="876">
        <f>+B5/B11</f>
        <v>0.12082878722325842</v>
      </c>
      <c r="D5" s="851"/>
    </row>
    <row r="6" spans="1:8" ht="15.75">
      <c r="A6" s="874" t="s">
        <v>6</v>
      </c>
      <c r="B6" s="875">
        <f>Pr2005!F14</f>
        <v>108677</v>
      </c>
      <c r="C6" s="876">
        <f>+B6/B11</f>
        <v>0.12220515117364852</v>
      </c>
      <c r="D6" s="851"/>
      <c r="H6" s="17"/>
    </row>
    <row r="7" spans="1:4" ht="12.75">
      <c r="A7" s="874" t="s">
        <v>9</v>
      </c>
      <c r="B7" s="875">
        <f>Pr2005!$F$16</f>
        <v>3686</v>
      </c>
      <c r="C7" s="876">
        <f>+B7/B11</f>
        <v>0.004144834576093087</v>
      </c>
      <c r="D7" s="851"/>
    </row>
    <row r="8" spans="1:4" ht="12.75">
      <c r="A8" s="874" t="s">
        <v>10</v>
      </c>
      <c r="B8" s="875">
        <f>Pr2005!$F$21</f>
        <v>45934</v>
      </c>
      <c r="C8" s="876">
        <f>+B8/B11</f>
        <v>0.051651880471584345</v>
      </c>
      <c r="D8" s="851"/>
    </row>
    <row r="9" spans="1:4" ht="12.75">
      <c r="A9" s="874" t="s">
        <v>176</v>
      </c>
      <c r="B9" s="875">
        <f>Pr2005!$C$22</f>
        <v>83803</v>
      </c>
      <c r="C9" s="876">
        <f>+B9/B11</f>
        <v>0.09423482690730575</v>
      </c>
      <c r="D9" s="851"/>
    </row>
    <row r="10" spans="1:4" ht="12.75">
      <c r="A10" s="874" t="s">
        <v>24</v>
      </c>
      <c r="B10" s="875">
        <f>Pr2005!$F$27</f>
        <v>539746.665</v>
      </c>
      <c r="C10" s="876">
        <f>+B10/B11</f>
        <v>0.6069345196481098</v>
      </c>
      <c r="D10" s="851"/>
    </row>
    <row r="11" spans="1:4" ht="12.75">
      <c r="A11" s="877" t="s">
        <v>14</v>
      </c>
      <c r="B11" s="878">
        <f>SUM(B5:B10)</f>
        <v>889299.665</v>
      </c>
      <c r="C11" s="876">
        <f>SUM(C5:C10)</f>
        <v>1</v>
      </c>
      <c r="D11" s="851"/>
    </row>
    <row r="12" spans="1:3" ht="12.75">
      <c r="A12" s="879"/>
      <c r="B12" s="879"/>
      <c r="C12" s="879"/>
    </row>
    <row r="13" spans="1:3" ht="12.75">
      <c r="A13" s="852"/>
      <c r="B13" s="852"/>
      <c r="C13" s="852"/>
    </row>
    <row r="60" ht="12.75">
      <c r="E60" s="496"/>
    </row>
  </sheetData>
  <sheetProtection/>
  <printOptions/>
  <pageMargins left="0.48" right="0.48" top="0.1968503937007874" bottom="0.3937007874015748" header="0.5118110236220472" footer="0.5118110236220472"/>
  <pageSetup horizontalDpi="300" verticalDpi="300" orientation="landscape" paperSize="9" r:id="rId2"/>
  <headerFooter alignWithMargins="0">
    <oddFooter>&amp;C[ 2 ]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cols>
    <col min="1" max="1" width="32.7109375" style="4" customWidth="1"/>
    <col min="2" max="2" width="24.7109375" style="4" customWidth="1"/>
    <col min="3" max="3" width="25.7109375" style="4" customWidth="1"/>
    <col min="4" max="4" width="24.7109375" style="4" customWidth="1"/>
    <col min="5" max="5" width="9.140625" style="4" customWidth="1"/>
  </cols>
  <sheetData>
    <row r="1" spans="1:5" ht="12.75">
      <c r="A1" s="27" t="s">
        <v>0</v>
      </c>
      <c r="B1" s="28"/>
      <c r="C1" s="28"/>
      <c r="D1" s="28"/>
      <c r="E1" s="28"/>
    </row>
    <row r="2" spans="1:5" ht="23.25">
      <c r="A2" s="27" t="s">
        <v>1</v>
      </c>
      <c r="B2" s="28"/>
      <c r="C2" s="18"/>
      <c r="D2" s="18"/>
      <c r="E2" s="28"/>
    </row>
    <row r="3" spans="1:5" ht="23.25">
      <c r="A3" s="27" t="s">
        <v>2</v>
      </c>
      <c r="B3" s="28"/>
      <c r="C3" s="19"/>
      <c r="D3" s="19"/>
      <c r="E3" s="28"/>
    </row>
    <row r="4" spans="1:5" ht="12.75">
      <c r="A4" s="28"/>
      <c r="B4" s="28"/>
      <c r="C4" s="28"/>
      <c r="D4" s="28"/>
      <c r="E4" s="28"/>
    </row>
    <row r="5" spans="1:5" ht="12.75">
      <c r="A5" s="28"/>
      <c r="B5" s="28"/>
      <c r="C5" s="28"/>
      <c r="D5" s="28"/>
      <c r="E5" s="28"/>
    </row>
    <row r="6" spans="1:10" ht="33">
      <c r="A6" s="1317" t="s">
        <v>100</v>
      </c>
      <c r="B6" s="1317"/>
      <c r="C6" s="1317"/>
      <c r="D6" s="1317"/>
      <c r="E6" s="1317"/>
      <c r="F6" s="2"/>
      <c r="G6" s="2"/>
      <c r="H6" s="2"/>
      <c r="I6" s="2"/>
      <c r="J6" s="2"/>
    </row>
    <row r="7" spans="1:10" ht="33">
      <c r="A7" s="1317" t="s">
        <v>329</v>
      </c>
      <c r="B7" s="1317"/>
      <c r="C7" s="1317"/>
      <c r="D7" s="1317"/>
      <c r="E7" s="1317"/>
      <c r="F7" s="2"/>
      <c r="G7" s="2"/>
      <c r="H7" s="2"/>
      <c r="I7" s="2"/>
      <c r="J7" s="2"/>
    </row>
    <row r="8" spans="1:5" ht="13.5" thickBot="1">
      <c r="A8" s="28"/>
      <c r="B8" s="28"/>
      <c r="C8" s="28"/>
      <c r="D8" s="28"/>
      <c r="E8" s="28"/>
    </row>
    <row r="9" spans="1:5" ht="30" customHeight="1" thickBot="1" thickTop="1">
      <c r="A9" s="20"/>
      <c r="B9" s="26" t="s">
        <v>24</v>
      </c>
      <c r="C9" s="21" t="s">
        <v>160</v>
      </c>
      <c r="D9" s="26" t="s">
        <v>104</v>
      </c>
      <c r="E9" s="28"/>
    </row>
    <row r="10" spans="1:5" ht="30" customHeight="1" thickBot="1" thickTop="1">
      <c r="A10" s="20"/>
      <c r="B10" s="23">
        <f>Pr2005!$F$27</f>
        <v>539746.665</v>
      </c>
      <c r="C10" s="23">
        <f>Pr2005!$H$27</f>
        <v>349553</v>
      </c>
      <c r="D10" s="23">
        <f>SUM(B10:C10)</f>
        <v>889299.665</v>
      </c>
      <c r="E10" s="28"/>
    </row>
    <row r="11" spans="1:5" ht="30" customHeight="1" thickBot="1" thickTop="1">
      <c r="A11" s="22"/>
      <c r="B11" s="24">
        <f>+B10/D10</f>
        <v>0.6069345196481098</v>
      </c>
      <c r="C11" s="24">
        <f>+C10/D10</f>
        <v>0.39306548035189015</v>
      </c>
      <c r="D11" s="25">
        <f>+B11+C11</f>
        <v>1</v>
      </c>
      <c r="E11" s="28"/>
    </row>
    <row r="12" ht="13.5" thickTop="1"/>
    <row r="60" ht="12.75">
      <c r="E60" s="11"/>
    </row>
  </sheetData>
  <sheetProtection/>
  <mergeCells count="2">
    <mergeCell ref="A6:E6"/>
    <mergeCell ref="A7:E7"/>
  </mergeCells>
  <printOptions/>
  <pageMargins left="1.32" right="0.48" top="0" bottom="0.3937007874015748" header="0.5118110236220472" footer="0.5118110236220472"/>
  <pageSetup horizontalDpi="300" verticalDpi="300" orientation="landscape" paperSize="9" r:id="rId2"/>
  <headerFooter alignWithMargins="0">
    <oddFooter>&amp;C[ 3 ]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zoomScalePageLayoutView="0" workbookViewId="0" topLeftCell="A1">
      <selection activeCell="A1" sqref="A1"/>
      <selection activeCell="A7" sqref="A7:IV8"/>
    </sheetView>
  </sheetViews>
  <sheetFormatPr defaultColWidth="9.140625" defaultRowHeight="12.75"/>
  <cols>
    <col min="1" max="1" width="14.7109375" style="28" customWidth="1"/>
    <col min="2" max="2" width="15.7109375" style="28" customWidth="1"/>
    <col min="3" max="3" width="4.7109375" style="28" customWidth="1"/>
    <col min="4" max="6" width="5.7109375" style="28" customWidth="1"/>
    <col min="7" max="7" width="4.7109375" style="28" customWidth="1"/>
    <col min="8" max="8" width="5.7109375" style="28" customWidth="1"/>
    <col min="9" max="9" width="4.7109375" style="28" customWidth="1"/>
    <col min="10" max="12" width="5.7109375" style="28" customWidth="1"/>
    <col min="13" max="14" width="5.7109375" style="30" customWidth="1"/>
    <col min="15" max="16" width="5.7109375" style="28" customWidth="1"/>
    <col min="17" max="17" width="5.7109375" style="31" customWidth="1"/>
    <col min="18" max="19" width="9.140625" style="1125" customWidth="1"/>
  </cols>
  <sheetData>
    <row r="1" ht="20.25">
      <c r="A1" s="27" t="s">
        <v>0</v>
      </c>
    </row>
    <row r="2" ht="20.25">
      <c r="A2" s="27" t="s">
        <v>1</v>
      </c>
    </row>
    <row r="3" ht="20.25">
      <c r="A3" s="27" t="s">
        <v>2</v>
      </c>
    </row>
    <row r="4" ht="24.75" customHeight="1">
      <c r="A4" s="27"/>
    </row>
    <row r="5" spans="1:16" ht="23.25" customHeight="1">
      <c r="A5" s="1323" t="s">
        <v>162</v>
      </c>
      <c r="B5" s="1323"/>
      <c r="C5" s="1323"/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817"/>
    </row>
    <row r="6" spans="1:16" ht="23.25" customHeight="1" thickBot="1">
      <c r="A6" s="1323" t="s">
        <v>330</v>
      </c>
      <c r="B6" s="1323"/>
      <c r="C6" s="1323"/>
      <c r="D6" s="1323"/>
      <c r="E6" s="1323"/>
      <c r="F6" s="1323"/>
      <c r="G6" s="1323"/>
      <c r="H6" s="1323"/>
      <c r="I6" s="1323"/>
      <c r="J6" s="1323"/>
      <c r="K6" s="1323"/>
      <c r="L6" s="1323"/>
      <c r="M6" s="1323"/>
      <c r="N6" s="1323"/>
      <c r="O6" s="1323"/>
      <c r="P6" s="817"/>
    </row>
    <row r="7" spans="1:17" ht="30" customHeight="1" thickBot="1" thickTop="1">
      <c r="A7" s="1321" t="s">
        <v>54</v>
      </c>
      <c r="B7" s="1322"/>
      <c r="C7" s="55">
        <v>91</v>
      </c>
      <c r="D7" s="55">
        <v>92</v>
      </c>
      <c r="E7" s="55">
        <v>93</v>
      </c>
      <c r="F7" s="55">
        <v>94</v>
      </c>
      <c r="G7" s="55">
        <v>95</v>
      </c>
      <c r="H7" s="55">
        <v>96</v>
      </c>
      <c r="I7" s="56">
        <v>97</v>
      </c>
      <c r="J7" s="56">
        <v>98</v>
      </c>
      <c r="K7" s="56">
        <v>99</v>
      </c>
      <c r="L7" s="56">
        <v>2000</v>
      </c>
      <c r="M7" s="57">
        <v>2001</v>
      </c>
      <c r="N7" s="57">
        <v>2002</v>
      </c>
      <c r="O7" s="834">
        <v>2003</v>
      </c>
      <c r="P7" s="835">
        <v>2004</v>
      </c>
      <c r="Q7" s="818">
        <v>2005</v>
      </c>
    </row>
    <row r="8" spans="1:19" ht="30" customHeight="1" thickTop="1">
      <c r="A8" s="1330" t="s">
        <v>184</v>
      </c>
      <c r="B8" s="32" t="s">
        <v>175</v>
      </c>
      <c r="C8" s="58">
        <v>40.179</v>
      </c>
      <c r="D8" s="58">
        <v>43.385</v>
      </c>
      <c r="E8" s="58">
        <v>44.721</v>
      </c>
      <c r="F8" s="58">
        <v>45.633</v>
      </c>
      <c r="G8" s="58">
        <v>43.707</v>
      </c>
      <c r="H8" s="58">
        <v>51.089</v>
      </c>
      <c r="I8" s="59">
        <v>52.748</v>
      </c>
      <c r="J8" s="59">
        <v>68</v>
      </c>
      <c r="K8" s="59">
        <v>89.943</v>
      </c>
      <c r="L8" s="59">
        <v>54.872</v>
      </c>
      <c r="M8" s="59">
        <v>59.624</v>
      </c>
      <c r="N8" s="60">
        <v>59.619</v>
      </c>
      <c r="O8" s="60">
        <f>46973/1000</f>
        <v>46.973</v>
      </c>
      <c r="P8" s="836">
        <v>47.481</v>
      </c>
      <c r="Q8" s="819">
        <f>Pr2005!$C9/1000</f>
        <v>56.721</v>
      </c>
      <c r="S8" s="1125">
        <v>1000</v>
      </c>
    </row>
    <row r="9" spans="1:17" ht="30" customHeight="1" thickBot="1">
      <c r="A9" s="1328"/>
      <c r="B9" s="33" t="s">
        <v>96</v>
      </c>
      <c r="C9" s="61">
        <v>41.935</v>
      </c>
      <c r="D9" s="61">
        <v>43.349</v>
      </c>
      <c r="E9" s="61">
        <v>50.9</v>
      </c>
      <c r="F9" s="61">
        <v>48.342</v>
      </c>
      <c r="G9" s="61">
        <v>47.257</v>
      </c>
      <c r="H9" s="61">
        <v>48.434</v>
      </c>
      <c r="I9" s="62">
        <v>57.417</v>
      </c>
      <c r="J9" s="62">
        <v>57.063</v>
      </c>
      <c r="K9" s="63">
        <v>82.4</v>
      </c>
      <c r="L9" s="63">
        <v>75.972</v>
      </c>
      <c r="M9" s="63">
        <v>73.549</v>
      </c>
      <c r="N9" s="64">
        <v>72.889</v>
      </c>
      <c r="O9" s="64">
        <f>70408/1000</f>
        <v>70.408</v>
      </c>
      <c r="P9" s="837">
        <v>63.914</v>
      </c>
      <c r="Q9" s="820">
        <f>Pr2005!$C$10/1000</f>
        <v>50.732</v>
      </c>
    </row>
    <row r="10" spans="1:17" ht="30" customHeight="1" thickTop="1">
      <c r="A10" s="1324" t="s">
        <v>181</v>
      </c>
      <c r="B10" s="34" t="s">
        <v>4</v>
      </c>
      <c r="C10" s="65">
        <v>60.348</v>
      </c>
      <c r="D10" s="65">
        <v>58.519</v>
      </c>
      <c r="E10" s="65">
        <v>63.6</v>
      </c>
      <c r="F10" s="65">
        <v>59.014</v>
      </c>
      <c r="G10" s="65">
        <v>59.6</v>
      </c>
      <c r="H10" s="65">
        <v>52.505</v>
      </c>
      <c r="I10" s="66">
        <v>63.098</v>
      </c>
      <c r="J10" s="66">
        <v>78.261</v>
      </c>
      <c r="K10" s="67">
        <v>65</v>
      </c>
      <c r="L10" s="68">
        <v>74.132</v>
      </c>
      <c r="M10" s="69">
        <v>68.4</v>
      </c>
      <c r="N10" s="70">
        <v>58.4</v>
      </c>
      <c r="O10" s="70">
        <f>65015/1000</f>
        <v>65.015</v>
      </c>
      <c r="P10" s="838">
        <v>63.772</v>
      </c>
      <c r="Q10" s="821">
        <f>Pr2005!$C$11/1000</f>
        <v>39.857</v>
      </c>
    </row>
    <row r="11" spans="1:17" ht="30" customHeight="1">
      <c r="A11" s="1325"/>
      <c r="B11" s="35" t="s">
        <v>5</v>
      </c>
      <c r="C11" s="71">
        <v>51.775</v>
      </c>
      <c r="D11" s="71">
        <v>52.251</v>
      </c>
      <c r="E11" s="71">
        <v>47.982</v>
      </c>
      <c r="F11" s="71">
        <v>55.067</v>
      </c>
      <c r="G11" s="71">
        <v>59.193</v>
      </c>
      <c r="H11" s="71">
        <v>59.351</v>
      </c>
      <c r="I11" s="72">
        <v>58.746</v>
      </c>
      <c r="J11" s="72">
        <v>59.033</v>
      </c>
      <c r="K11" s="72">
        <v>55.3</v>
      </c>
      <c r="L11" s="72">
        <v>51.768</v>
      </c>
      <c r="M11" s="73">
        <v>59.2</v>
      </c>
      <c r="N11" s="74">
        <v>59.785</v>
      </c>
      <c r="O11" s="74">
        <f>55500/1000</f>
        <v>55.5</v>
      </c>
      <c r="P11" s="839">
        <v>55</v>
      </c>
      <c r="Q11" s="822">
        <f>Pr2005!C12/1000</f>
        <v>53.909</v>
      </c>
    </row>
    <row r="12" spans="1:17" ht="30" customHeight="1">
      <c r="A12" s="1325"/>
      <c r="B12" s="35" t="s">
        <v>170</v>
      </c>
      <c r="C12" s="71">
        <v>8.852</v>
      </c>
      <c r="D12" s="71">
        <v>8.3</v>
      </c>
      <c r="E12" s="71">
        <v>8.3</v>
      </c>
      <c r="F12" s="71">
        <v>9.672</v>
      </c>
      <c r="G12" s="71">
        <v>8.209</v>
      </c>
      <c r="H12" s="71">
        <v>10.125</v>
      </c>
      <c r="I12" s="72">
        <v>10.784</v>
      </c>
      <c r="J12" s="72">
        <v>10.28</v>
      </c>
      <c r="K12" s="72">
        <v>9.494</v>
      </c>
      <c r="L12" s="72">
        <v>8.922</v>
      </c>
      <c r="M12" s="73">
        <v>10.91</v>
      </c>
      <c r="N12" s="74">
        <v>10.336</v>
      </c>
      <c r="O12" s="74">
        <v>10.23</v>
      </c>
      <c r="P12" s="839">
        <v>9.056</v>
      </c>
      <c r="Q12" s="822">
        <f>Pr2005!C13/1000</f>
        <v>9.619</v>
      </c>
    </row>
    <row r="13" spans="1:17" ht="30" customHeight="1" thickBot="1">
      <c r="A13" s="1326"/>
      <c r="B13" s="36" t="s">
        <v>171</v>
      </c>
      <c r="C13" s="75">
        <v>1.956</v>
      </c>
      <c r="D13" s="75">
        <v>3.143</v>
      </c>
      <c r="E13" s="75">
        <v>3.683</v>
      </c>
      <c r="F13" s="75">
        <v>3.516</v>
      </c>
      <c r="G13" s="75">
        <v>3.466</v>
      </c>
      <c r="H13" s="75">
        <v>3.976</v>
      </c>
      <c r="I13" s="76">
        <v>4.489</v>
      </c>
      <c r="J13" s="76">
        <v>4.521</v>
      </c>
      <c r="K13" s="76">
        <v>5.235</v>
      </c>
      <c r="L13" s="77">
        <v>6.378</v>
      </c>
      <c r="M13" s="78">
        <v>6.2</v>
      </c>
      <c r="N13" s="79">
        <v>5.303</v>
      </c>
      <c r="O13" s="79">
        <v>4.861</v>
      </c>
      <c r="P13" s="840">
        <v>5.024</v>
      </c>
      <c r="Q13" s="823">
        <f>Pr2005!C14/1000</f>
        <v>5.292</v>
      </c>
    </row>
    <row r="14" spans="1:17" ht="30" customHeight="1" thickTop="1">
      <c r="A14" s="1327" t="s">
        <v>182</v>
      </c>
      <c r="B14" s="37" t="s">
        <v>99</v>
      </c>
      <c r="C14" s="80">
        <v>2.988</v>
      </c>
      <c r="D14" s="80">
        <v>1.838</v>
      </c>
      <c r="E14" s="80">
        <v>2.205</v>
      </c>
      <c r="F14" s="80">
        <v>1.575</v>
      </c>
      <c r="G14" s="80">
        <v>2.172</v>
      </c>
      <c r="H14" s="80">
        <v>1.627</v>
      </c>
      <c r="I14" s="81">
        <v>2.23</v>
      </c>
      <c r="J14" s="81">
        <v>1.937</v>
      </c>
      <c r="K14" s="81">
        <v>3.86</v>
      </c>
      <c r="L14" s="82">
        <v>3.3</v>
      </c>
      <c r="M14" s="81">
        <v>3.146</v>
      </c>
      <c r="N14" s="83">
        <v>3.1</v>
      </c>
      <c r="O14" s="83">
        <v>3.3</v>
      </c>
      <c r="P14" s="841">
        <v>2.227</v>
      </c>
      <c r="Q14" s="824">
        <f>Pr2005!C15/1000</f>
        <v>3.534</v>
      </c>
    </row>
    <row r="15" spans="1:17" ht="30" customHeight="1" thickBot="1">
      <c r="A15" s="1328"/>
      <c r="B15" s="38" t="s">
        <v>7</v>
      </c>
      <c r="C15" s="84">
        <v>0.1</v>
      </c>
      <c r="D15" s="84">
        <v>0.2</v>
      </c>
      <c r="E15" s="84">
        <v>0.2</v>
      </c>
      <c r="F15" s="84">
        <v>0.2</v>
      </c>
      <c r="G15" s="84">
        <v>0.113</v>
      </c>
      <c r="H15" s="84">
        <v>0.205</v>
      </c>
      <c r="I15" s="85">
        <v>0.154</v>
      </c>
      <c r="J15" s="85">
        <v>0.189</v>
      </c>
      <c r="K15" s="86">
        <v>0.157</v>
      </c>
      <c r="L15" s="86">
        <v>0.141</v>
      </c>
      <c r="M15" s="86">
        <v>0.162</v>
      </c>
      <c r="N15" s="87">
        <v>0.19</v>
      </c>
      <c r="O15" s="87">
        <v>0.185</v>
      </c>
      <c r="P15" s="842">
        <v>0.2</v>
      </c>
      <c r="Q15" s="825">
        <f>Pr2005!C16/1000</f>
        <v>0.152</v>
      </c>
    </row>
    <row r="16" spans="1:17" ht="30" customHeight="1" thickTop="1">
      <c r="A16" s="1329" t="s">
        <v>183</v>
      </c>
      <c r="B16" s="39" t="s">
        <v>172</v>
      </c>
      <c r="C16" s="88">
        <v>1.445</v>
      </c>
      <c r="D16" s="88">
        <v>1.435</v>
      </c>
      <c r="E16" s="88">
        <v>0.799</v>
      </c>
      <c r="F16" s="88">
        <v>0.444</v>
      </c>
      <c r="G16" s="88">
        <v>0.703</v>
      </c>
      <c r="H16" s="88">
        <v>0.856</v>
      </c>
      <c r="I16" s="89">
        <v>0.906</v>
      </c>
      <c r="J16" s="89">
        <v>1.025</v>
      </c>
      <c r="K16" s="90">
        <v>1.513</v>
      </c>
      <c r="L16" s="91">
        <v>1.819</v>
      </c>
      <c r="M16" s="90">
        <v>1.396</v>
      </c>
      <c r="N16" s="92">
        <v>1.925</v>
      </c>
      <c r="O16" s="92">
        <v>2.452</v>
      </c>
      <c r="P16" s="843">
        <v>2.682</v>
      </c>
      <c r="Q16" s="826">
        <f>Pr2005!C17/1000</f>
        <v>3.037</v>
      </c>
    </row>
    <row r="17" spans="1:17" ht="30" customHeight="1">
      <c r="A17" s="1325"/>
      <c r="B17" s="40" t="s">
        <v>21</v>
      </c>
      <c r="C17" s="93">
        <v>0.752</v>
      </c>
      <c r="D17" s="93">
        <v>0.546</v>
      </c>
      <c r="E17" s="93">
        <v>0.527</v>
      </c>
      <c r="F17" s="93">
        <v>0.481</v>
      </c>
      <c r="G17" s="93">
        <v>0.612</v>
      </c>
      <c r="H17" s="93">
        <v>0.702</v>
      </c>
      <c r="I17" s="94">
        <v>0.876</v>
      </c>
      <c r="J17" s="94">
        <v>1.073</v>
      </c>
      <c r="K17" s="94">
        <v>1.654</v>
      </c>
      <c r="L17" s="94">
        <v>1.876</v>
      </c>
      <c r="M17" s="94">
        <v>0.861</v>
      </c>
      <c r="N17" s="95">
        <v>1.231</v>
      </c>
      <c r="O17" s="95">
        <v>1.313</v>
      </c>
      <c r="P17" s="844">
        <v>1.271</v>
      </c>
      <c r="Q17" s="827">
        <f>Pr2005!C18/1000</f>
        <v>1.992</v>
      </c>
    </row>
    <row r="18" spans="1:17" ht="30" customHeight="1">
      <c r="A18" s="1325"/>
      <c r="B18" s="40" t="s">
        <v>8</v>
      </c>
      <c r="C18" s="93">
        <v>33.921</v>
      </c>
      <c r="D18" s="93">
        <v>33</v>
      </c>
      <c r="E18" s="93">
        <v>28.719</v>
      </c>
      <c r="F18" s="93">
        <v>32.428</v>
      </c>
      <c r="G18" s="93">
        <v>50.93</v>
      </c>
      <c r="H18" s="93">
        <v>45.401</v>
      </c>
      <c r="I18" s="94">
        <v>52.627</v>
      </c>
      <c r="J18" s="94">
        <v>53.819</v>
      </c>
      <c r="K18" s="94">
        <v>41.304</v>
      </c>
      <c r="L18" s="94">
        <v>16.812</v>
      </c>
      <c r="M18" s="94">
        <v>28.153</v>
      </c>
      <c r="N18" s="95">
        <v>23.371</v>
      </c>
      <c r="O18" s="95">
        <f>41315/1000</f>
        <v>41.315</v>
      </c>
      <c r="P18" s="844">
        <v>24.998</v>
      </c>
      <c r="Q18" s="827">
        <f>Pr2005!C19/1000</f>
        <v>30.571</v>
      </c>
    </row>
    <row r="19" spans="1:17" ht="30" customHeight="1">
      <c r="A19" s="1325"/>
      <c r="B19" s="41" t="s">
        <v>165</v>
      </c>
      <c r="C19" s="96" t="s">
        <v>105</v>
      </c>
      <c r="D19" s="96" t="s">
        <v>105</v>
      </c>
      <c r="E19" s="96" t="s">
        <v>105</v>
      </c>
      <c r="F19" s="96" t="s">
        <v>105</v>
      </c>
      <c r="G19" s="96" t="s">
        <v>105</v>
      </c>
      <c r="H19" s="96" t="s">
        <v>105</v>
      </c>
      <c r="I19" s="97" t="s">
        <v>105</v>
      </c>
      <c r="J19" s="97" t="s">
        <v>105</v>
      </c>
      <c r="K19" s="97" t="s">
        <v>105</v>
      </c>
      <c r="L19" s="97">
        <v>2.2</v>
      </c>
      <c r="M19" s="97">
        <v>1.519</v>
      </c>
      <c r="N19" s="98">
        <v>2.5</v>
      </c>
      <c r="O19" s="95">
        <v>5.078</v>
      </c>
      <c r="P19" s="844">
        <v>7.562</v>
      </c>
      <c r="Q19" s="827">
        <f>Pr2005!C20/1000</f>
        <v>4.045</v>
      </c>
    </row>
    <row r="20" spans="1:17" ht="30" customHeight="1" thickBot="1">
      <c r="A20" s="1326"/>
      <c r="B20" s="42" t="s">
        <v>55</v>
      </c>
      <c r="C20" s="96">
        <v>0.5</v>
      </c>
      <c r="D20" s="96">
        <v>0.7</v>
      </c>
      <c r="E20" s="96">
        <v>1.2</v>
      </c>
      <c r="F20" s="96">
        <v>1.3</v>
      </c>
      <c r="G20" s="96">
        <v>1.492</v>
      </c>
      <c r="H20" s="96">
        <v>1.789</v>
      </c>
      <c r="I20" s="97">
        <v>1.722</v>
      </c>
      <c r="J20" s="97">
        <v>2.751</v>
      </c>
      <c r="K20" s="97">
        <v>2.821</v>
      </c>
      <c r="L20" s="99">
        <v>5.786</v>
      </c>
      <c r="M20" s="97">
        <v>5.444</v>
      </c>
      <c r="N20" s="98">
        <v>5.669</v>
      </c>
      <c r="O20" s="98">
        <v>5.879</v>
      </c>
      <c r="P20" s="845">
        <v>5.307</v>
      </c>
      <c r="Q20" s="828">
        <f>Pr2005!C21/1000</f>
        <v>6.289</v>
      </c>
    </row>
    <row r="21" spans="1:17" ht="30" customHeight="1" thickBot="1" thickTop="1">
      <c r="A21" s="43" t="s">
        <v>176</v>
      </c>
      <c r="B21" s="44" t="s">
        <v>176</v>
      </c>
      <c r="C21" s="100">
        <v>41.268</v>
      </c>
      <c r="D21" s="100">
        <v>39.623</v>
      </c>
      <c r="E21" s="100">
        <v>49.897</v>
      </c>
      <c r="F21" s="100">
        <v>57.512</v>
      </c>
      <c r="G21" s="100">
        <v>57.873</v>
      </c>
      <c r="H21" s="100">
        <v>64.403</v>
      </c>
      <c r="I21" s="101">
        <v>65.535</v>
      </c>
      <c r="J21" s="101">
        <v>68.252</v>
      </c>
      <c r="K21" s="101">
        <v>63.981</v>
      </c>
      <c r="L21" s="68">
        <f>0.015+80.321</f>
        <v>80.336</v>
      </c>
      <c r="M21" s="102">
        <f>0.2+109.887</f>
        <v>110.087</v>
      </c>
      <c r="N21" s="103">
        <v>120.852</v>
      </c>
      <c r="O21" s="103">
        <f>118300/1000</f>
        <v>118.3</v>
      </c>
      <c r="P21" s="846">
        <v>105</v>
      </c>
      <c r="Q21" s="829">
        <f>Pr2005!C22/1000</f>
        <v>83.803</v>
      </c>
    </row>
    <row r="22" spans="1:17" ht="30" customHeight="1" thickTop="1">
      <c r="A22" s="45"/>
      <c r="B22" s="46" t="s">
        <v>163</v>
      </c>
      <c r="C22" s="104" t="s">
        <v>105</v>
      </c>
      <c r="D22" s="105" t="s">
        <v>105</v>
      </c>
      <c r="E22" s="105" t="s">
        <v>105</v>
      </c>
      <c r="F22" s="105" t="s">
        <v>105</v>
      </c>
      <c r="G22" s="106">
        <v>10</v>
      </c>
      <c r="H22" s="107">
        <v>15.343</v>
      </c>
      <c r="I22" s="108">
        <v>12.25</v>
      </c>
      <c r="J22" s="108">
        <v>10.9</v>
      </c>
      <c r="K22" s="109">
        <v>12.39</v>
      </c>
      <c r="L22" s="104" t="s">
        <v>105</v>
      </c>
      <c r="M22" s="110" t="s">
        <v>105</v>
      </c>
      <c r="N22" s="110" t="s">
        <v>105</v>
      </c>
      <c r="O22" s="110" t="s">
        <v>105</v>
      </c>
      <c r="P22" s="847" t="s">
        <v>105</v>
      </c>
      <c r="Q22" s="830" t="s">
        <v>105</v>
      </c>
    </row>
    <row r="23" spans="1:17" ht="30" customHeight="1">
      <c r="A23" s="47" t="s">
        <v>24</v>
      </c>
      <c r="B23" s="48" t="s">
        <v>161</v>
      </c>
      <c r="C23" s="111">
        <f>33.828+1.172</f>
        <v>35</v>
      </c>
      <c r="D23" s="112">
        <f>34.755+0.245</f>
        <v>35</v>
      </c>
      <c r="E23" s="112">
        <f>34.66+0.34</f>
        <v>35</v>
      </c>
      <c r="F23" s="112">
        <f>34.043+0.957</f>
        <v>35</v>
      </c>
      <c r="G23" s="112">
        <f>6.582+33.311</f>
        <v>39.893</v>
      </c>
      <c r="H23" s="112">
        <f>7.155+45.698</f>
        <v>52.853</v>
      </c>
      <c r="I23" s="113">
        <f>7.861+56.599</f>
        <v>64.46</v>
      </c>
      <c r="J23" s="114">
        <f>7.076+106.118</f>
        <v>113.19399999999999</v>
      </c>
      <c r="K23" s="114">
        <f>6.279+184.761</f>
        <v>191.04</v>
      </c>
      <c r="L23" s="114">
        <f>8.769+298.895+0.015</f>
        <v>307.679</v>
      </c>
      <c r="M23" s="114">
        <f>6.744+294.033</f>
        <v>300.77700000000004</v>
      </c>
      <c r="N23" s="114">
        <f>7.13+323.421+0.23+1.015</f>
        <v>331.796</v>
      </c>
      <c r="O23" s="114">
        <f>7.256+387.516+0.314+1.03</f>
        <v>396.11600000000004</v>
      </c>
      <c r="P23" s="848">
        <v>403.92917700000004</v>
      </c>
      <c r="Q23" s="831">
        <f>Pr2005!$F$23/1000</f>
        <v>502.305665</v>
      </c>
    </row>
    <row r="24" spans="1:17" ht="30" customHeight="1">
      <c r="A24" s="47"/>
      <c r="B24" s="49" t="s">
        <v>47</v>
      </c>
      <c r="C24" s="118" t="s">
        <v>105</v>
      </c>
      <c r="D24" s="119" t="s">
        <v>105</v>
      </c>
      <c r="E24" s="119" t="s">
        <v>105</v>
      </c>
      <c r="F24" s="119" t="s">
        <v>105</v>
      </c>
      <c r="G24" s="119">
        <v>1.977</v>
      </c>
      <c r="H24" s="119">
        <v>1.72</v>
      </c>
      <c r="I24" s="117">
        <v>2.103</v>
      </c>
      <c r="J24" s="117">
        <v>2.855</v>
      </c>
      <c r="K24" s="117">
        <v>12.885</v>
      </c>
      <c r="L24" s="117">
        <v>16.069</v>
      </c>
      <c r="M24" s="117">
        <v>23.716</v>
      </c>
      <c r="N24" s="117">
        <v>28.166</v>
      </c>
      <c r="O24" s="117">
        <v>32.059</v>
      </c>
      <c r="P24" s="848">
        <v>50.403</v>
      </c>
      <c r="Q24" s="831">
        <f>Pr2005!$C$25/1000</f>
        <v>19.8385</v>
      </c>
    </row>
    <row r="25" spans="1:17" ht="30" customHeight="1" thickBot="1">
      <c r="A25" s="50"/>
      <c r="B25" s="51" t="s">
        <v>13</v>
      </c>
      <c r="C25" s="111">
        <v>25</v>
      </c>
      <c r="D25" s="111">
        <v>25</v>
      </c>
      <c r="E25" s="111">
        <v>19</v>
      </c>
      <c r="F25" s="111">
        <v>18</v>
      </c>
      <c r="G25" s="111">
        <v>19.836</v>
      </c>
      <c r="H25" s="111">
        <v>21.264</v>
      </c>
      <c r="I25" s="115">
        <v>6.891</v>
      </c>
      <c r="J25" s="115">
        <v>12.44</v>
      </c>
      <c r="K25" s="116">
        <v>9.962</v>
      </c>
      <c r="L25" s="116">
        <v>16.36</v>
      </c>
      <c r="M25" s="115">
        <v>18.371</v>
      </c>
      <c r="N25" s="117">
        <v>16.334</v>
      </c>
      <c r="O25" s="117">
        <v>17.006</v>
      </c>
      <c r="P25" s="119">
        <v>17.2028</v>
      </c>
      <c r="Q25" s="832">
        <f>Pr2005!$C$26/1000</f>
        <v>17.6025</v>
      </c>
    </row>
    <row r="26" spans="1:17" ht="30" customHeight="1" thickBot="1" thickTop="1">
      <c r="A26" s="1319" t="s">
        <v>14</v>
      </c>
      <c r="B26" s="1320"/>
      <c r="C26" s="120">
        <f aca="true" t="shared" si="0" ref="C26:I26">SUM(C8:C25)</f>
        <v>346.019</v>
      </c>
      <c r="D26" s="121">
        <f t="shared" si="0"/>
        <v>346.289</v>
      </c>
      <c r="E26" s="121">
        <f t="shared" si="0"/>
        <v>356.733</v>
      </c>
      <c r="F26" s="121">
        <f t="shared" si="0"/>
        <v>368.18399999999997</v>
      </c>
      <c r="G26" s="122">
        <f t="shared" si="0"/>
        <v>407.033</v>
      </c>
      <c r="H26" s="123">
        <f t="shared" si="0"/>
        <v>431.6430000000001</v>
      </c>
      <c r="I26" s="124">
        <f t="shared" si="0"/>
        <v>457.036</v>
      </c>
      <c r="J26" s="125">
        <f aca="true" t="shared" si="1" ref="J26:O26">SUM(J8:J25)</f>
        <v>545.5930000000001</v>
      </c>
      <c r="K26" s="125">
        <f t="shared" si="1"/>
        <v>648.939</v>
      </c>
      <c r="L26" s="125">
        <f t="shared" si="1"/>
        <v>724.422</v>
      </c>
      <c r="M26" s="125">
        <f t="shared" si="1"/>
        <v>771.5150000000001</v>
      </c>
      <c r="N26" s="126">
        <f t="shared" si="1"/>
        <v>801.4659999999999</v>
      </c>
      <c r="O26" s="124">
        <f t="shared" si="1"/>
        <v>875.9899999999999</v>
      </c>
      <c r="P26" s="122">
        <f>SUM(P8:P25)</f>
        <v>865.0289770000002</v>
      </c>
      <c r="Q26" s="833">
        <f>SUM(Q8:Q25)</f>
        <v>889.2996649999999</v>
      </c>
    </row>
    <row r="27" spans="1:9" ht="30" customHeight="1" thickTop="1">
      <c r="A27" s="52" t="s">
        <v>180</v>
      </c>
      <c r="B27" s="52"/>
      <c r="C27" s="52"/>
      <c r="D27" s="52"/>
      <c r="E27" s="52"/>
      <c r="F27" s="52"/>
      <c r="G27" s="52"/>
      <c r="H27" s="52"/>
      <c r="I27" s="52"/>
    </row>
    <row r="28" spans="1:9" ht="30" customHeight="1">
      <c r="A28" s="53" t="s">
        <v>164</v>
      </c>
      <c r="B28" s="53"/>
      <c r="C28" s="53"/>
      <c r="D28" s="53"/>
      <c r="E28" s="53"/>
      <c r="F28" s="53"/>
      <c r="G28" s="54"/>
      <c r="H28" s="54"/>
      <c r="I28" s="54"/>
    </row>
    <row r="58" ht="20.25">
      <c r="E58" s="496"/>
    </row>
  </sheetData>
  <sheetProtection/>
  <mergeCells count="8">
    <mergeCell ref="A26:B26"/>
    <mergeCell ref="A7:B7"/>
    <mergeCell ref="A5:O5"/>
    <mergeCell ref="A6:O6"/>
    <mergeCell ref="A10:A13"/>
    <mergeCell ref="A14:A15"/>
    <mergeCell ref="A16:A20"/>
    <mergeCell ref="A8:A9"/>
  </mergeCells>
  <printOptions/>
  <pageMargins left="0.7874015748031497" right="0" top="0" bottom="0.5905511811023623" header="0.5118110236220472" footer="0.5118110236220472"/>
  <pageSetup fitToHeight="1" fitToWidth="1" horizontalDpi="300" verticalDpi="300" orientation="portrait" paperSize="9" scale="87" r:id="rId1"/>
  <headerFooter alignWithMargins="0">
    <oddFooter>&amp;C[ 5 ]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60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cols>
    <col min="1" max="1" width="8.7109375" style="28" customWidth="1"/>
    <col min="2" max="16" width="7.7109375" style="28" customWidth="1"/>
  </cols>
  <sheetData>
    <row r="1" spans="1:16" s="16" customFormat="1" ht="12.75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s="16" customFormat="1" ht="12.75">
      <c r="A2" s="27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s="16" customFormat="1" ht="12.75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s="16" customFormat="1" ht="24.75" customHeight="1">
      <c r="A4" s="1323" t="s">
        <v>162</v>
      </c>
      <c r="B4" s="1323"/>
      <c r="C4" s="1323"/>
      <c r="D4" s="1323"/>
      <c r="E4" s="1323"/>
      <c r="F4" s="1323"/>
      <c r="G4" s="1323"/>
      <c r="H4" s="1323"/>
      <c r="I4" s="1323"/>
      <c r="J4" s="1323"/>
      <c r="K4" s="1323"/>
      <c r="L4" s="1323"/>
      <c r="M4" s="1323"/>
      <c r="N4" s="1323"/>
      <c r="O4" s="1323"/>
      <c r="P4" s="28"/>
    </row>
    <row r="5" spans="1:16" s="16" customFormat="1" ht="24.75" customHeight="1">
      <c r="A5" s="1323" t="s">
        <v>330</v>
      </c>
      <c r="B5" s="1323"/>
      <c r="C5" s="1323"/>
      <c r="D5" s="1323"/>
      <c r="E5" s="1323"/>
      <c r="F5" s="1323"/>
      <c r="G5" s="1323"/>
      <c r="H5" s="1323"/>
      <c r="I5" s="1323"/>
      <c r="J5" s="1323"/>
      <c r="K5" s="1323"/>
      <c r="L5" s="1323"/>
      <c r="M5" s="1323"/>
      <c r="N5" s="1323"/>
      <c r="O5" s="1323"/>
      <c r="P5" s="28"/>
    </row>
    <row r="6" spans="1:16" s="16" customFormat="1" ht="9.75" customHeight="1" thickBot="1">
      <c r="A6" s="28" t="s">
        <v>16</v>
      </c>
      <c r="B6" s="28"/>
      <c r="C6" s="28"/>
      <c r="D6" s="28"/>
      <c r="E6" s="28"/>
      <c r="F6" s="28"/>
      <c r="G6" s="28"/>
      <c r="H6" s="28"/>
      <c r="I6" s="28"/>
      <c r="J6" s="1331"/>
      <c r="K6" s="1331"/>
      <c r="L6" s="1332"/>
      <c r="M6" s="28"/>
      <c r="N6" s="28"/>
      <c r="O6" s="28"/>
      <c r="P6" s="28"/>
    </row>
    <row r="7" spans="1:16" s="16" customFormat="1" ht="21.75" thickBot="1" thickTop="1">
      <c r="A7" s="397" t="s">
        <v>17</v>
      </c>
      <c r="B7" s="398">
        <v>1991</v>
      </c>
      <c r="C7" s="398">
        <v>1992</v>
      </c>
      <c r="D7" s="398">
        <v>1993</v>
      </c>
      <c r="E7" s="398">
        <v>1994</v>
      </c>
      <c r="F7" s="398">
        <v>1995</v>
      </c>
      <c r="G7" s="398">
        <v>1996</v>
      </c>
      <c r="H7" s="398">
        <v>1997</v>
      </c>
      <c r="I7" s="398">
        <v>1998</v>
      </c>
      <c r="J7" s="398">
        <v>1999</v>
      </c>
      <c r="K7" s="398">
        <v>2000</v>
      </c>
      <c r="L7" s="398">
        <v>2001</v>
      </c>
      <c r="M7" s="398">
        <v>2002</v>
      </c>
      <c r="N7" s="398">
        <v>2003</v>
      </c>
      <c r="O7" s="398">
        <v>2004</v>
      </c>
      <c r="P7" s="398">
        <v>2005</v>
      </c>
    </row>
    <row r="8" spans="1:16" s="16" customFormat="1" ht="21.75" thickBot="1" thickTop="1">
      <c r="A8" s="397" t="s">
        <v>11</v>
      </c>
      <c r="B8" s="880">
        <f>'Pr91-2005'!C26</f>
        <v>346.019</v>
      </c>
      <c r="C8" s="880">
        <f>'Pr91-2005'!D26</f>
        <v>346.289</v>
      </c>
      <c r="D8" s="880">
        <f>'Pr91-2005'!E26</f>
        <v>356.733</v>
      </c>
      <c r="E8" s="880">
        <f>'Pr91-2005'!F26</f>
        <v>368.18399999999997</v>
      </c>
      <c r="F8" s="880">
        <f>'Pr91-2005'!G26</f>
        <v>407.033</v>
      </c>
      <c r="G8" s="880">
        <f>'Pr91-2005'!H26</f>
        <v>431.6430000000001</v>
      </c>
      <c r="H8" s="880">
        <f>'Pr91-2005'!I26</f>
        <v>457.036</v>
      </c>
      <c r="I8" s="880">
        <f>'Pr91-2005'!J26</f>
        <v>545.5930000000001</v>
      </c>
      <c r="J8" s="880">
        <f>'Pr91-2005'!K26</f>
        <v>648.939</v>
      </c>
      <c r="K8" s="880">
        <f>'Pr91-2005'!L26</f>
        <v>724.422</v>
      </c>
      <c r="L8" s="880">
        <f>'Pr91-2005'!M26</f>
        <v>771.5150000000001</v>
      </c>
      <c r="M8" s="880">
        <f>'Pr91-2005'!N26</f>
        <v>801.4659999999999</v>
      </c>
      <c r="N8" s="880">
        <f>'Pr91-2005'!O26</f>
        <v>875.9899999999999</v>
      </c>
      <c r="O8" s="880">
        <f>'Pr91-2005'!P26</f>
        <v>865.0289770000002</v>
      </c>
      <c r="P8" s="880">
        <f>'Pr91-2005'!$Q$26</f>
        <v>889.2996649999999</v>
      </c>
    </row>
    <row r="9" ht="13.5" thickTop="1"/>
    <row r="34" spans="1:16" s="4" customFormat="1" ht="15" customHeight="1">
      <c r="A34" s="881" t="s">
        <v>332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60" ht="12.75">
      <c r="E60" s="496"/>
    </row>
  </sheetData>
  <sheetProtection/>
  <mergeCells count="3">
    <mergeCell ref="J6:L6"/>
    <mergeCell ref="A4:O4"/>
    <mergeCell ref="A5:O5"/>
  </mergeCells>
  <printOptions/>
  <pageMargins left="0.59" right="0.48" top="0.6" bottom="0.37" header="0.5118110236220472" footer="0.14"/>
  <pageSetup horizontalDpi="300" verticalDpi="300" orientation="landscape" paperSize="9" scale="110" r:id="rId2"/>
  <headerFooter alignWithMargins="0">
    <oddFooter>&amp;C[ 6 ]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0"/>
  <sheetViews>
    <sheetView zoomScale="150" zoomScaleNormal="150" zoomScalePageLayoutView="0" workbookViewId="0" topLeftCell="A1">
      <selection activeCell="A1" sqref="A1"/>
      <selection activeCell="C10" sqref="C10"/>
    </sheetView>
  </sheetViews>
  <sheetFormatPr defaultColWidth="9.140625" defaultRowHeight="12.75"/>
  <cols>
    <col min="1" max="1" width="7.7109375" style="28" customWidth="1"/>
    <col min="2" max="2" width="10.7109375" style="28" customWidth="1"/>
    <col min="3" max="3" width="6.7109375" style="349" customWidth="1"/>
    <col min="4" max="6" width="6.421875" style="28" customWidth="1"/>
    <col min="7" max="7" width="6.28125" style="28" customWidth="1"/>
    <col min="8" max="9" width="6.7109375" style="28" customWidth="1"/>
    <col min="10" max="10" width="6.28125" style="28" customWidth="1"/>
    <col min="11" max="12" width="6.140625" style="28" customWidth="1"/>
    <col min="13" max="15" width="5.7109375" style="28" customWidth="1"/>
    <col min="16" max="16" width="8.140625" style="28" customWidth="1"/>
    <col min="17" max="17" width="6.7109375" style="28" customWidth="1"/>
    <col min="18" max="19" width="6.28125" style="28" customWidth="1"/>
    <col min="20" max="20" width="7.28125" style="28" customWidth="1"/>
    <col min="21" max="21" width="6.28125" style="28" customWidth="1"/>
    <col min="22" max="22" width="6.7109375" style="28" customWidth="1"/>
    <col min="24" max="24" width="10.8515625" style="0" bestFit="1" customWidth="1"/>
  </cols>
  <sheetData>
    <row r="1" ht="12" customHeight="1">
      <c r="A1" s="27" t="s">
        <v>0</v>
      </c>
    </row>
    <row r="2" ht="12" customHeight="1">
      <c r="A2" s="27" t="s">
        <v>1</v>
      </c>
    </row>
    <row r="3" ht="12" customHeight="1">
      <c r="A3" s="27" t="s">
        <v>2</v>
      </c>
    </row>
    <row r="4" spans="1:23" ht="24" customHeight="1">
      <c r="A4" s="1333" t="s">
        <v>186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/>
      <c r="V4" s="1333"/>
      <c r="W4" s="3"/>
    </row>
    <row r="5" spans="1:23" ht="18" customHeight="1">
      <c r="A5" s="1333" t="s">
        <v>329</v>
      </c>
      <c r="B5" s="1333"/>
      <c r="C5" s="1333"/>
      <c r="D5" s="1333"/>
      <c r="E5" s="1333"/>
      <c r="F5" s="1333"/>
      <c r="G5" s="1333"/>
      <c r="H5" s="1333"/>
      <c r="I5" s="1333"/>
      <c r="J5" s="1333"/>
      <c r="K5" s="1333"/>
      <c r="L5" s="1333"/>
      <c r="M5" s="1333"/>
      <c r="N5" s="1333"/>
      <c r="O5" s="1333"/>
      <c r="P5" s="1333"/>
      <c r="Q5" s="1333"/>
      <c r="R5" s="1333"/>
      <c r="S5" s="1333"/>
      <c r="T5" s="1333"/>
      <c r="U5" s="1333"/>
      <c r="V5" s="1333"/>
      <c r="W5" s="14"/>
    </row>
    <row r="6" spans="1:22" ht="10.5" customHeight="1" thickBot="1">
      <c r="A6" s="127"/>
      <c r="B6" s="127"/>
      <c r="C6" s="128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9"/>
      <c r="U6" s="130"/>
      <c r="V6" s="130"/>
    </row>
    <row r="7" spans="1:22" ht="11.25" customHeight="1" thickTop="1">
      <c r="A7" s="131" t="s">
        <v>101</v>
      </c>
      <c r="B7" s="132"/>
      <c r="C7" s="1335" t="s">
        <v>56</v>
      </c>
      <c r="D7" s="1336"/>
      <c r="E7" s="1334" t="s">
        <v>6</v>
      </c>
      <c r="F7" s="1334"/>
      <c r="G7" s="1334"/>
      <c r="H7" s="1334"/>
      <c r="I7" s="1335" t="s">
        <v>98</v>
      </c>
      <c r="J7" s="1336"/>
      <c r="K7" s="1334" t="s">
        <v>10</v>
      </c>
      <c r="L7" s="1334"/>
      <c r="M7" s="1334"/>
      <c r="N7" s="1334"/>
      <c r="O7" s="1334"/>
      <c r="P7" s="1338" t="s">
        <v>176</v>
      </c>
      <c r="Q7" s="1337" t="s">
        <v>24</v>
      </c>
      <c r="R7" s="1337"/>
      <c r="S7" s="1337"/>
      <c r="T7" s="1337"/>
      <c r="U7" s="1337"/>
      <c r="V7" s="133" t="s">
        <v>14</v>
      </c>
    </row>
    <row r="8" spans="1:22" ht="13.5" customHeight="1" thickBot="1">
      <c r="A8" s="134" t="s">
        <v>49</v>
      </c>
      <c r="B8" s="129"/>
      <c r="C8" s="135" t="s">
        <v>177</v>
      </c>
      <c r="D8" s="136" t="s">
        <v>3</v>
      </c>
      <c r="E8" s="431" t="s">
        <v>4</v>
      </c>
      <c r="F8" s="137" t="s">
        <v>5</v>
      </c>
      <c r="G8" s="137" t="s">
        <v>170</v>
      </c>
      <c r="H8" s="138" t="s">
        <v>171</v>
      </c>
      <c r="I8" s="432" t="s">
        <v>99</v>
      </c>
      <c r="J8" s="433" t="s">
        <v>22</v>
      </c>
      <c r="K8" s="140" t="s">
        <v>172</v>
      </c>
      <c r="L8" s="137" t="s">
        <v>21</v>
      </c>
      <c r="M8" s="139" t="s">
        <v>8</v>
      </c>
      <c r="N8" s="138" t="s">
        <v>165</v>
      </c>
      <c r="O8" s="140" t="s">
        <v>57</v>
      </c>
      <c r="P8" s="1339"/>
      <c r="Q8" s="371" t="s">
        <v>45</v>
      </c>
      <c r="R8" s="366" t="s">
        <v>46</v>
      </c>
      <c r="S8" s="366" t="s">
        <v>47</v>
      </c>
      <c r="T8" s="367" t="s">
        <v>61</v>
      </c>
      <c r="U8" s="372" t="s">
        <v>168</v>
      </c>
      <c r="V8" s="434" t="s">
        <v>102</v>
      </c>
    </row>
    <row r="9" spans="1:22" ht="12" customHeight="1" thickTop="1">
      <c r="A9" s="141" t="s">
        <v>58</v>
      </c>
      <c r="B9" s="142" t="s">
        <v>30</v>
      </c>
      <c r="C9" s="143">
        <f>'16'!$D$26</f>
        <v>828</v>
      </c>
      <c r="D9" s="144" t="s">
        <v>105</v>
      </c>
      <c r="E9" s="143" t="s">
        <v>105</v>
      </c>
      <c r="F9" s="145" t="s">
        <v>105</v>
      </c>
      <c r="G9" s="145" t="s">
        <v>105</v>
      </c>
      <c r="H9" s="146" t="s">
        <v>105</v>
      </c>
      <c r="I9" s="147" t="s">
        <v>105</v>
      </c>
      <c r="J9" s="144" t="s">
        <v>105</v>
      </c>
      <c r="K9" s="143" t="s">
        <v>105</v>
      </c>
      <c r="L9" s="145" t="s">
        <v>105</v>
      </c>
      <c r="M9" s="145" t="s">
        <v>105</v>
      </c>
      <c r="N9" s="145" t="s">
        <v>105</v>
      </c>
      <c r="O9" s="146" t="s">
        <v>105</v>
      </c>
      <c r="P9" s="148" t="s">
        <v>105</v>
      </c>
      <c r="Q9" s="147" t="s">
        <v>105</v>
      </c>
      <c r="R9" s="144">
        <f>'17'!$H$25</f>
        <v>5</v>
      </c>
      <c r="S9" s="145" t="s">
        <v>105</v>
      </c>
      <c r="T9" s="145" t="s">
        <v>105</v>
      </c>
      <c r="U9" s="144" t="s">
        <v>105</v>
      </c>
      <c r="V9" s="149">
        <f>SUM(C9:U9)</f>
        <v>833</v>
      </c>
    </row>
    <row r="10" spans="1:22" ht="12" customHeight="1">
      <c r="A10" s="150" t="s">
        <v>95</v>
      </c>
      <c r="B10" s="151" t="s">
        <v>31</v>
      </c>
      <c r="C10" s="152">
        <f>'16'!$D$24</f>
        <v>12669</v>
      </c>
      <c r="D10" s="144" t="s">
        <v>105</v>
      </c>
      <c r="E10" s="152" t="s">
        <v>105</v>
      </c>
      <c r="F10" s="153" t="s">
        <v>105</v>
      </c>
      <c r="G10" s="153" t="s">
        <v>105</v>
      </c>
      <c r="H10" s="154">
        <f>'16'!$I$24</f>
        <v>5292</v>
      </c>
      <c r="I10" s="147" t="s">
        <v>105</v>
      </c>
      <c r="J10" s="144" t="s">
        <v>105</v>
      </c>
      <c r="K10" s="152" t="s">
        <v>105</v>
      </c>
      <c r="L10" s="153" t="s">
        <v>105</v>
      </c>
      <c r="M10" s="153" t="s">
        <v>105</v>
      </c>
      <c r="N10" s="153" t="s">
        <v>105</v>
      </c>
      <c r="O10" s="155" t="s">
        <v>105</v>
      </c>
      <c r="P10" s="148" t="s">
        <v>105</v>
      </c>
      <c r="Q10" s="147">
        <f>'17'!$D$23</f>
        <v>459.339</v>
      </c>
      <c r="R10" s="156">
        <f>'17'!$H$23</f>
        <v>4050</v>
      </c>
      <c r="S10" s="153" t="s">
        <v>105</v>
      </c>
      <c r="T10" s="153" t="s">
        <v>105</v>
      </c>
      <c r="U10" s="156" t="s">
        <v>105</v>
      </c>
      <c r="V10" s="157">
        <f>SUM(C10:U10)</f>
        <v>22470.339</v>
      </c>
    </row>
    <row r="11" spans="1:22" ht="12" customHeight="1" thickBot="1">
      <c r="A11" s="158" t="s">
        <v>97</v>
      </c>
      <c r="B11" s="159" t="s">
        <v>32</v>
      </c>
      <c r="C11" s="160">
        <f>'16'!$D$25</f>
        <v>11449</v>
      </c>
      <c r="D11" s="144" t="s">
        <v>105</v>
      </c>
      <c r="E11" s="152" t="s">
        <v>105</v>
      </c>
      <c r="F11" s="153" t="s">
        <v>105</v>
      </c>
      <c r="G11" s="153">
        <f>'16'!$H$25</f>
        <v>9619</v>
      </c>
      <c r="H11" s="155" t="s">
        <v>105</v>
      </c>
      <c r="I11" s="147" t="s">
        <v>105</v>
      </c>
      <c r="J11" s="144" t="s">
        <v>105</v>
      </c>
      <c r="K11" s="152" t="s">
        <v>105</v>
      </c>
      <c r="L11" s="153" t="s">
        <v>105</v>
      </c>
      <c r="M11" s="153" t="s">
        <v>105</v>
      </c>
      <c r="N11" s="153" t="s">
        <v>105</v>
      </c>
      <c r="O11" s="155" t="s">
        <v>105</v>
      </c>
      <c r="P11" s="161">
        <f>'16'!$Q$25</f>
        <v>2105</v>
      </c>
      <c r="Q11" s="162">
        <f>'17'!$D$24</f>
        <v>1546.308</v>
      </c>
      <c r="R11" s="163">
        <f>'17'!$H$24</f>
        <v>54238</v>
      </c>
      <c r="S11" s="164">
        <f>'17'!$I$24</f>
        <v>12356</v>
      </c>
      <c r="T11" s="164">
        <f>'17'!$J$24</f>
        <v>3950</v>
      </c>
      <c r="U11" s="163">
        <f>'17'!$K$24</f>
        <v>1950</v>
      </c>
      <c r="V11" s="165">
        <f>SUM(C11:U11)</f>
        <v>97213.308</v>
      </c>
    </row>
    <row r="12" spans="1:22" ht="12" customHeight="1" thickBot="1" thickTop="1">
      <c r="A12" s="1346" t="s">
        <v>14</v>
      </c>
      <c r="B12" s="1347"/>
      <c r="C12" s="166">
        <f aca="true" t="shared" si="0" ref="C12:V12">SUM(C9:C11)</f>
        <v>24946</v>
      </c>
      <c r="D12" s="359">
        <f t="shared" si="0"/>
        <v>0</v>
      </c>
      <c r="E12" s="360">
        <f t="shared" si="0"/>
        <v>0</v>
      </c>
      <c r="F12" s="361">
        <f t="shared" si="0"/>
        <v>0</v>
      </c>
      <c r="G12" s="361">
        <f t="shared" si="0"/>
        <v>9619</v>
      </c>
      <c r="H12" s="167">
        <f t="shared" si="0"/>
        <v>5292</v>
      </c>
      <c r="I12" s="362">
        <f t="shared" si="0"/>
        <v>0</v>
      </c>
      <c r="J12" s="363">
        <f t="shared" si="0"/>
        <v>0</v>
      </c>
      <c r="K12" s="360">
        <f t="shared" si="0"/>
        <v>0</v>
      </c>
      <c r="L12" s="361">
        <f t="shared" si="0"/>
        <v>0</v>
      </c>
      <c r="M12" s="361">
        <f t="shared" si="0"/>
        <v>0</v>
      </c>
      <c r="N12" s="361">
        <f t="shared" si="0"/>
        <v>0</v>
      </c>
      <c r="O12" s="167">
        <f t="shared" si="0"/>
        <v>0</v>
      </c>
      <c r="P12" s="168">
        <f t="shared" si="0"/>
        <v>2105</v>
      </c>
      <c r="Q12" s="169">
        <f t="shared" si="0"/>
        <v>2005.647</v>
      </c>
      <c r="R12" s="170">
        <f t="shared" si="0"/>
        <v>58293</v>
      </c>
      <c r="S12" s="171">
        <f t="shared" si="0"/>
        <v>12356</v>
      </c>
      <c r="T12" s="171">
        <f t="shared" si="0"/>
        <v>3950</v>
      </c>
      <c r="U12" s="170">
        <f t="shared" si="0"/>
        <v>1950</v>
      </c>
      <c r="V12" s="368">
        <f t="shared" si="0"/>
        <v>120516.647</v>
      </c>
    </row>
    <row r="13" spans="1:22" ht="12" customHeight="1" thickTop="1">
      <c r="A13" s="172" t="s">
        <v>27</v>
      </c>
      <c r="B13" s="173" t="s">
        <v>27</v>
      </c>
      <c r="C13" s="174">
        <f>'16'!$D$11</f>
        <v>14511</v>
      </c>
      <c r="D13" s="175" t="s">
        <v>105</v>
      </c>
      <c r="E13" s="176">
        <f>'16'!F11</f>
        <v>3037</v>
      </c>
      <c r="F13" s="177" t="s">
        <v>105</v>
      </c>
      <c r="G13" s="177" t="s">
        <v>105</v>
      </c>
      <c r="H13" s="176" t="s">
        <v>105</v>
      </c>
      <c r="I13" s="178" t="s">
        <v>105</v>
      </c>
      <c r="J13" s="175" t="s">
        <v>105</v>
      </c>
      <c r="K13" s="176" t="s">
        <v>105</v>
      </c>
      <c r="L13" s="177" t="s">
        <v>105</v>
      </c>
      <c r="M13" s="177" t="s">
        <v>105</v>
      </c>
      <c r="N13" s="177" t="s">
        <v>105</v>
      </c>
      <c r="O13" s="176" t="s">
        <v>105</v>
      </c>
      <c r="P13" s="179">
        <f>'16'!Q11</f>
        <v>1486</v>
      </c>
      <c r="Q13" s="180">
        <f>'17'!D10</f>
        <v>88.35499999999999</v>
      </c>
      <c r="R13" s="176">
        <f>'17'!H10</f>
        <v>71142</v>
      </c>
      <c r="S13" s="177">
        <f>'17'!$I$10</f>
        <v>3876</v>
      </c>
      <c r="T13" s="177">
        <f>'17'!J10</f>
        <v>905</v>
      </c>
      <c r="U13" s="176" t="s">
        <v>105</v>
      </c>
      <c r="V13" s="181">
        <f>SUM(C13:U13)</f>
        <v>95045.355</v>
      </c>
    </row>
    <row r="14" spans="1:22" ht="12" customHeight="1">
      <c r="A14" s="182"/>
      <c r="B14" s="183" t="s">
        <v>28</v>
      </c>
      <c r="C14" s="184" t="s">
        <v>105</v>
      </c>
      <c r="D14" s="185" t="s">
        <v>105</v>
      </c>
      <c r="E14" s="186">
        <f>'16'!F12</f>
        <v>34441</v>
      </c>
      <c r="F14" s="187" t="s">
        <v>105</v>
      </c>
      <c r="G14" s="187" t="s">
        <v>105</v>
      </c>
      <c r="H14" s="186" t="s">
        <v>105</v>
      </c>
      <c r="I14" s="184" t="s">
        <v>105</v>
      </c>
      <c r="J14" s="185" t="s">
        <v>105</v>
      </c>
      <c r="K14" s="186" t="s">
        <v>105</v>
      </c>
      <c r="L14" s="187" t="s">
        <v>105</v>
      </c>
      <c r="M14" s="187" t="s">
        <v>105</v>
      </c>
      <c r="N14" s="187" t="s">
        <v>105</v>
      </c>
      <c r="O14" s="186" t="s">
        <v>105</v>
      </c>
      <c r="P14" s="188">
        <f>'16'!Q12</f>
        <v>4880</v>
      </c>
      <c r="Q14" s="189">
        <f>'17'!D11</f>
        <v>1295.806</v>
      </c>
      <c r="R14" s="186">
        <f>'17'!H11</f>
        <v>371</v>
      </c>
      <c r="S14" s="187" t="s">
        <v>105</v>
      </c>
      <c r="T14" s="187">
        <f>'17'!J11</f>
        <v>3250</v>
      </c>
      <c r="U14" s="186" t="s">
        <v>105</v>
      </c>
      <c r="V14" s="190">
        <f>SUM(C14:U14)</f>
        <v>44237.806</v>
      </c>
    </row>
    <row r="15" spans="1:22" ht="12" customHeight="1" thickBot="1">
      <c r="A15" s="191"/>
      <c r="B15" s="192" t="s">
        <v>59</v>
      </c>
      <c r="C15" s="193" t="s">
        <v>105</v>
      </c>
      <c r="D15" s="194" t="s">
        <v>105</v>
      </c>
      <c r="E15" s="195" t="s">
        <v>105</v>
      </c>
      <c r="F15" s="196" t="s">
        <v>105</v>
      </c>
      <c r="G15" s="196" t="s">
        <v>105</v>
      </c>
      <c r="H15" s="195" t="s">
        <v>105</v>
      </c>
      <c r="I15" s="193" t="s">
        <v>105</v>
      </c>
      <c r="J15" s="194" t="s">
        <v>105</v>
      </c>
      <c r="K15" s="195" t="s">
        <v>105</v>
      </c>
      <c r="L15" s="196" t="s">
        <v>105</v>
      </c>
      <c r="M15" s="196" t="s">
        <v>105</v>
      </c>
      <c r="N15" s="196" t="s">
        <v>105</v>
      </c>
      <c r="O15" s="195" t="s">
        <v>105</v>
      </c>
      <c r="P15" s="197">
        <f>'16'!Q13</f>
        <v>7580</v>
      </c>
      <c r="Q15" s="198">
        <f>'17'!D12</f>
        <v>751</v>
      </c>
      <c r="R15" s="195">
        <f>'17'!H12</f>
        <v>94090</v>
      </c>
      <c r="S15" s="196" t="s">
        <v>105</v>
      </c>
      <c r="T15" s="196">
        <f>'17'!J12</f>
        <v>3380</v>
      </c>
      <c r="U15" s="195" t="s">
        <v>105</v>
      </c>
      <c r="V15" s="887">
        <f>SUM(C15:U15)</f>
        <v>105801</v>
      </c>
    </row>
    <row r="16" spans="1:22" ht="12" customHeight="1" thickBot="1" thickTop="1">
      <c r="A16" s="1344" t="s">
        <v>14</v>
      </c>
      <c r="B16" s="1345"/>
      <c r="C16" s="200">
        <f>SUM(C13:C15)</f>
        <v>14511</v>
      </c>
      <c r="D16" s="201">
        <f aca="true" t="shared" si="1" ref="D16:O16">SUM(D13:D15)</f>
        <v>0</v>
      </c>
      <c r="E16" s="201">
        <f t="shared" si="1"/>
        <v>37478</v>
      </c>
      <c r="F16" s="206">
        <f t="shared" si="1"/>
        <v>0</v>
      </c>
      <c r="G16" s="206">
        <f t="shared" si="1"/>
        <v>0</v>
      </c>
      <c r="H16" s="201">
        <f t="shared" si="1"/>
        <v>0</v>
      </c>
      <c r="I16" s="200">
        <f t="shared" si="1"/>
        <v>0</v>
      </c>
      <c r="J16" s="364">
        <f t="shared" si="1"/>
        <v>0</v>
      </c>
      <c r="K16" s="201">
        <f t="shared" si="1"/>
        <v>0</v>
      </c>
      <c r="L16" s="206">
        <f t="shared" si="1"/>
        <v>0</v>
      </c>
      <c r="M16" s="206">
        <f t="shared" si="1"/>
        <v>0</v>
      </c>
      <c r="N16" s="206">
        <f t="shared" si="1"/>
        <v>0</v>
      </c>
      <c r="O16" s="201">
        <f t="shared" si="1"/>
        <v>0</v>
      </c>
      <c r="P16" s="202">
        <f aca="true" t="shared" si="2" ref="P16:V16">SUM(P13:P15)</f>
        <v>13946</v>
      </c>
      <c r="Q16" s="203">
        <f t="shared" si="2"/>
        <v>2135.161</v>
      </c>
      <c r="R16" s="369">
        <f t="shared" si="2"/>
        <v>165603</v>
      </c>
      <c r="S16" s="205">
        <f t="shared" si="2"/>
        <v>3876</v>
      </c>
      <c r="T16" s="205">
        <f t="shared" si="2"/>
        <v>7535</v>
      </c>
      <c r="U16" s="201">
        <f t="shared" si="2"/>
        <v>0</v>
      </c>
      <c r="V16" s="350">
        <f t="shared" si="2"/>
        <v>245084.161</v>
      </c>
    </row>
    <row r="17" spans="1:22" ht="12" customHeight="1" thickTop="1">
      <c r="A17" s="207" t="s">
        <v>158</v>
      </c>
      <c r="B17" s="208" t="s">
        <v>33</v>
      </c>
      <c r="C17" s="209">
        <f>'16'!$D$32</f>
        <v>14511</v>
      </c>
      <c r="D17" s="210" t="s">
        <v>105</v>
      </c>
      <c r="E17" s="211">
        <f>'16'!$F$32</f>
        <v>2379</v>
      </c>
      <c r="F17" s="212" t="s">
        <v>105</v>
      </c>
      <c r="G17" s="212" t="s">
        <v>105</v>
      </c>
      <c r="H17" s="211" t="s">
        <v>105</v>
      </c>
      <c r="I17" s="209" t="s">
        <v>105</v>
      </c>
      <c r="J17" s="210">
        <f>'16'!$J$32</f>
        <v>152</v>
      </c>
      <c r="K17" s="211" t="s">
        <v>105</v>
      </c>
      <c r="L17" s="212" t="s">
        <v>105</v>
      </c>
      <c r="M17" s="212" t="s">
        <v>105</v>
      </c>
      <c r="N17" s="212" t="s">
        <v>105</v>
      </c>
      <c r="O17" s="211" t="s">
        <v>105</v>
      </c>
      <c r="P17" s="213" t="s">
        <v>105</v>
      </c>
      <c r="Q17" s="214" t="s">
        <v>105</v>
      </c>
      <c r="R17" s="211">
        <f>'17'!$H$29</f>
        <v>34515.5</v>
      </c>
      <c r="S17" s="212" t="s">
        <v>105</v>
      </c>
      <c r="T17" s="212" t="s">
        <v>105</v>
      </c>
      <c r="U17" s="211" t="s">
        <v>105</v>
      </c>
      <c r="V17" s="215">
        <f>SUM(C17:U17)</f>
        <v>51557.5</v>
      </c>
    </row>
    <row r="18" spans="1:22" ht="12" customHeight="1">
      <c r="A18" s="216" t="s">
        <v>95</v>
      </c>
      <c r="B18" s="217" t="s">
        <v>34</v>
      </c>
      <c r="C18" s="218" t="s">
        <v>105</v>
      </c>
      <c r="D18" s="219" t="s">
        <v>105</v>
      </c>
      <c r="E18" s="220" t="s">
        <v>105</v>
      </c>
      <c r="F18" s="221" t="s">
        <v>105</v>
      </c>
      <c r="G18" s="221" t="s">
        <v>105</v>
      </c>
      <c r="H18" s="220" t="s">
        <v>105</v>
      </c>
      <c r="I18" s="218" t="s">
        <v>105</v>
      </c>
      <c r="J18" s="219" t="s">
        <v>105</v>
      </c>
      <c r="K18" s="220" t="s">
        <v>105</v>
      </c>
      <c r="L18" s="221" t="s">
        <v>105</v>
      </c>
      <c r="M18" s="221" t="s">
        <v>105</v>
      </c>
      <c r="N18" s="221" t="s">
        <v>105</v>
      </c>
      <c r="O18" s="220">
        <f>'16'!$P$34</f>
        <v>6289</v>
      </c>
      <c r="P18" s="222">
        <f>'16'!$Q$34</f>
        <v>3783</v>
      </c>
      <c r="Q18" s="223">
        <f>'17'!$D$31</f>
        <v>8</v>
      </c>
      <c r="R18" s="220">
        <f>'17'!$H$31</f>
        <v>9464</v>
      </c>
      <c r="S18" s="221" t="s">
        <v>105</v>
      </c>
      <c r="T18" s="221">
        <f>'17'!$J$31</f>
        <v>25</v>
      </c>
      <c r="U18" s="220">
        <f>'17'!$K$31</f>
        <v>30</v>
      </c>
      <c r="V18" s="224">
        <f>SUM(C18:U18)</f>
        <v>19599</v>
      </c>
    </row>
    <row r="19" spans="1:22" ht="12" customHeight="1" thickBot="1">
      <c r="A19" s="225" t="s">
        <v>33</v>
      </c>
      <c r="B19" s="370" t="s">
        <v>35</v>
      </c>
      <c r="C19" s="226">
        <f>'16'!$D$33</f>
        <v>1069</v>
      </c>
      <c r="D19" s="227" t="s">
        <v>105</v>
      </c>
      <c r="E19" s="228" t="s">
        <v>105</v>
      </c>
      <c r="F19" s="229" t="s">
        <v>105</v>
      </c>
      <c r="G19" s="229" t="s">
        <v>105</v>
      </c>
      <c r="H19" s="228" t="s">
        <v>105</v>
      </c>
      <c r="I19" s="226">
        <f>'16'!$K$33</f>
        <v>3534</v>
      </c>
      <c r="J19" s="227" t="s">
        <v>105</v>
      </c>
      <c r="K19" s="228" t="s">
        <v>105</v>
      </c>
      <c r="L19" s="229" t="s">
        <v>105</v>
      </c>
      <c r="M19" s="229" t="s">
        <v>105</v>
      </c>
      <c r="N19" s="229" t="s">
        <v>105</v>
      </c>
      <c r="O19" s="228" t="s">
        <v>105</v>
      </c>
      <c r="P19" s="230" t="s">
        <v>105</v>
      </c>
      <c r="Q19" s="231" t="s">
        <v>105</v>
      </c>
      <c r="R19" s="228" t="s">
        <v>105</v>
      </c>
      <c r="S19" s="229" t="s">
        <v>105</v>
      </c>
      <c r="T19" s="229" t="s">
        <v>105</v>
      </c>
      <c r="U19" s="228" t="s">
        <v>105</v>
      </c>
      <c r="V19" s="232">
        <f>SUM(C19:U19)</f>
        <v>4603</v>
      </c>
    </row>
    <row r="20" spans="1:22" ht="12" customHeight="1" thickBot="1" thickTop="1">
      <c r="A20" s="1350" t="s">
        <v>14</v>
      </c>
      <c r="B20" s="1351"/>
      <c r="C20" s="358">
        <f aca="true" t="shared" si="3" ref="C20:V20">SUM(C17:C19)</f>
        <v>15580</v>
      </c>
      <c r="D20" s="233">
        <f t="shared" si="3"/>
        <v>0</v>
      </c>
      <c r="E20" s="234">
        <f t="shared" si="3"/>
        <v>2379</v>
      </c>
      <c r="F20" s="235">
        <f t="shared" si="3"/>
        <v>0</v>
      </c>
      <c r="G20" s="235">
        <f t="shared" si="3"/>
        <v>0</v>
      </c>
      <c r="H20" s="234">
        <f t="shared" si="3"/>
        <v>0</v>
      </c>
      <c r="I20" s="236">
        <f t="shared" si="3"/>
        <v>3534</v>
      </c>
      <c r="J20" s="233">
        <f t="shared" si="3"/>
        <v>152</v>
      </c>
      <c r="K20" s="234">
        <f t="shared" si="3"/>
        <v>0</v>
      </c>
      <c r="L20" s="235">
        <f t="shared" si="3"/>
        <v>0</v>
      </c>
      <c r="M20" s="235">
        <f t="shared" si="3"/>
        <v>0</v>
      </c>
      <c r="N20" s="235">
        <f t="shared" si="3"/>
        <v>0</v>
      </c>
      <c r="O20" s="234">
        <f t="shared" si="3"/>
        <v>6289</v>
      </c>
      <c r="P20" s="237">
        <f t="shared" si="3"/>
        <v>3783</v>
      </c>
      <c r="Q20" s="238">
        <f t="shared" si="3"/>
        <v>8</v>
      </c>
      <c r="R20" s="234">
        <f t="shared" si="3"/>
        <v>43979.5</v>
      </c>
      <c r="S20" s="235">
        <f t="shared" si="3"/>
        <v>0</v>
      </c>
      <c r="T20" s="235">
        <f t="shared" si="3"/>
        <v>25</v>
      </c>
      <c r="U20" s="234">
        <f t="shared" si="3"/>
        <v>30</v>
      </c>
      <c r="V20" s="239">
        <f t="shared" si="3"/>
        <v>75759.5</v>
      </c>
    </row>
    <row r="21" spans="1:22" ht="12" customHeight="1" thickTop="1">
      <c r="A21" s="240" t="s">
        <v>96</v>
      </c>
      <c r="B21" s="241" t="s">
        <v>36</v>
      </c>
      <c r="C21" s="242" t="s">
        <v>105</v>
      </c>
      <c r="D21" s="243">
        <f>'16'!E20</f>
        <v>18324</v>
      </c>
      <c r="E21" s="244" t="s">
        <v>105</v>
      </c>
      <c r="F21" s="245" t="s">
        <v>105</v>
      </c>
      <c r="G21" s="245" t="s">
        <v>105</v>
      </c>
      <c r="H21" s="244" t="s">
        <v>105</v>
      </c>
      <c r="I21" s="242" t="s">
        <v>105</v>
      </c>
      <c r="J21" s="243" t="s">
        <v>105</v>
      </c>
      <c r="K21" s="244" t="s">
        <v>105</v>
      </c>
      <c r="L21" s="245" t="s">
        <v>105</v>
      </c>
      <c r="M21" s="245" t="s">
        <v>105</v>
      </c>
      <c r="N21" s="245" t="s">
        <v>105</v>
      </c>
      <c r="O21" s="244" t="s">
        <v>105</v>
      </c>
      <c r="P21" s="246" t="s">
        <v>105</v>
      </c>
      <c r="Q21" s="247" t="s">
        <v>105</v>
      </c>
      <c r="R21" s="244">
        <f>'17'!H19</f>
        <v>2528</v>
      </c>
      <c r="S21" s="245" t="s">
        <v>105</v>
      </c>
      <c r="T21" s="245" t="s">
        <v>105</v>
      </c>
      <c r="U21" s="244" t="s">
        <v>105</v>
      </c>
      <c r="V21" s="246">
        <f>SUM(C21:U21)</f>
        <v>20852</v>
      </c>
    </row>
    <row r="22" spans="1:22" ht="12" customHeight="1">
      <c r="A22" s="248" t="s">
        <v>95</v>
      </c>
      <c r="B22" s="249" t="s">
        <v>12</v>
      </c>
      <c r="C22" s="250" t="s">
        <v>105</v>
      </c>
      <c r="D22" s="251">
        <f>'16'!E21</f>
        <v>28944</v>
      </c>
      <c r="E22" s="252" t="s">
        <v>105</v>
      </c>
      <c r="F22" s="253" t="s">
        <v>105</v>
      </c>
      <c r="G22" s="253" t="s">
        <v>105</v>
      </c>
      <c r="H22" s="252" t="s">
        <v>105</v>
      </c>
      <c r="I22" s="250" t="s">
        <v>105</v>
      </c>
      <c r="J22" s="251" t="s">
        <v>105</v>
      </c>
      <c r="K22" s="252" t="s">
        <v>105</v>
      </c>
      <c r="L22" s="253" t="s">
        <v>105</v>
      </c>
      <c r="M22" s="253" t="s">
        <v>105</v>
      </c>
      <c r="N22" s="253" t="s">
        <v>105</v>
      </c>
      <c r="O22" s="252" t="s">
        <v>105</v>
      </c>
      <c r="P22" s="254" t="s">
        <v>105</v>
      </c>
      <c r="Q22" s="255" t="s">
        <v>105</v>
      </c>
      <c r="R22" s="252">
        <f>'17'!H20</f>
        <v>150</v>
      </c>
      <c r="S22" s="253" t="s">
        <v>105</v>
      </c>
      <c r="T22" s="253" t="s">
        <v>105</v>
      </c>
      <c r="U22" s="252" t="s">
        <v>105</v>
      </c>
      <c r="V22" s="254">
        <f>SUM(C22:U22)</f>
        <v>29094</v>
      </c>
    </row>
    <row r="23" spans="1:22" ht="12" customHeight="1" thickBot="1">
      <c r="A23" s="256" t="s">
        <v>36</v>
      </c>
      <c r="B23" s="257" t="s">
        <v>37</v>
      </c>
      <c r="C23" s="258" t="s">
        <v>105</v>
      </c>
      <c r="D23" s="259">
        <f>'16'!E22</f>
        <v>3464</v>
      </c>
      <c r="E23" s="260" t="s">
        <v>105</v>
      </c>
      <c r="F23" s="261" t="s">
        <v>105</v>
      </c>
      <c r="G23" s="261" t="s">
        <v>105</v>
      </c>
      <c r="H23" s="260" t="s">
        <v>105</v>
      </c>
      <c r="I23" s="258" t="s">
        <v>105</v>
      </c>
      <c r="J23" s="259" t="s">
        <v>105</v>
      </c>
      <c r="K23" s="260" t="s">
        <v>105</v>
      </c>
      <c r="L23" s="261" t="s">
        <v>105</v>
      </c>
      <c r="M23" s="261" t="s">
        <v>105</v>
      </c>
      <c r="N23" s="261" t="s">
        <v>105</v>
      </c>
      <c r="O23" s="260" t="s">
        <v>105</v>
      </c>
      <c r="P23" s="262" t="s">
        <v>105</v>
      </c>
      <c r="Q23" s="263" t="s">
        <v>105</v>
      </c>
      <c r="R23" s="260">
        <f>'17'!H21</f>
        <v>88</v>
      </c>
      <c r="S23" s="261" t="s">
        <v>105</v>
      </c>
      <c r="T23" s="261" t="s">
        <v>105</v>
      </c>
      <c r="U23" s="260" t="s">
        <v>105</v>
      </c>
      <c r="V23" s="262">
        <f>SUM(C23:U23)</f>
        <v>3552</v>
      </c>
    </row>
    <row r="24" spans="1:22" ht="12" customHeight="1" thickBot="1" thickTop="1">
      <c r="A24" s="1348" t="s">
        <v>14</v>
      </c>
      <c r="B24" s="1349"/>
      <c r="C24" s="264">
        <f>SUM(C21:C23)</f>
        <v>0</v>
      </c>
      <c r="D24" s="265">
        <f>SUM(D21:D23)</f>
        <v>50732</v>
      </c>
      <c r="E24" s="266">
        <f aca="true" t="shared" si="4" ref="E24:S24">SUM(E21:E23)</f>
        <v>0</v>
      </c>
      <c r="F24" s="267">
        <f t="shared" si="4"/>
        <v>0</v>
      </c>
      <c r="G24" s="267">
        <f t="shared" si="4"/>
        <v>0</v>
      </c>
      <c r="H24" s="266">
        <f t="shared" si="4"/>
        <v>0</v>
      </c>
      <c r="I24" s="264">
        <f t="shared" si="4"/>
        <v>0</v>
      </c>
      <c r="J24" s="268">
        <f t="shared" si="4"/>
        <v>0</v>
      </c>
      <c r="K24" s="266">
        <f t="shared" si="4"/>
        <v>0</v>
      </c>
      <c r="L24" s="267">
        <f t="shared" si="4"/>
        <v>0</v>
      </c>
      <c r="M24" s="267">
        <f t="shared" si="4"/>
        <v>0</v>
      </c>
      <c r="N24" s="267">
        <f t="shared" si="4"/>
        <v>0</v>
      </c>
      <c r="O24" s="266">
        <f t="shared" si="4"/>
        <v>0</v>
      </c>
      <c r="P24" s="269">
        <f t="shared" si="4"/>
        <v>0</v>
      </c>
      <c r="Q24" s="270">
        <f t="shared" si="4"/>
        <v>0</v>
      </c>
      <c r="R24" s="266">
        <f t="shared" si="4"/>
        <v>2766</v>
      </c>
      <c r="S24" s="267">
        <f t="shared" si="4"/>
        <v>0</v>
      </c>
      <c r="T24" s="267">
        <f>SUM(T21:T23)</f>
        <v>0</v>
      </c>
      <c r="U24" s="266">
        <f>SUM(U21:U23)</f>
        <v>0</v>
      </c>
      <c r="V24" s="269">
        <f>SUM(V21:V23)</f>
        <v>53498</v>
      </c>
    </row>
    <row r="25" spans="1:26" ht="12" customHeight="1" thickTop="1">
      <c r="A25" s="271" t="s">
        <v>52</v>
      </c>
      <c r="B25" s="272" t="s">
        <v>38</v>
      </c>
      <c r="C25" s="178">
        <f>'16'!$D$15</f>
        <v>1684</v>
      </c>
      <c r="D25" s="175" t="s">
        <v>105</v>
      </c>
      <c r="E25" s="176" t="s">
        <v>105</v>
      </c>
      <c r="F25" s="177">
        <f>'16'!$G$15</f>
        <v>53909</v>
      </c>
      <c r="G25" s="177" t="s">
        <v>105</v>
      </c>
      <c r="H25" s="176" t="s">
        <v>105</v>
      </c>
      <c r="I25" s="178" t="s">
        <v>105</v>
      </c>
      <c r="J25" s="175" t="s">
        <v>105</v>
      </c>
      <c r="K25" s="176" t="s">
        <v>105</v>
      </c>
      <c r="L25" s="177" t="s">
        <v>105</v>
      </c>
      <c r="M25" s="177" t="s">
        <v>105</v>
      </c>
      <c r="N25" s="177" t="s">
        <v>105</v>
      </c>
      <c r="O25" s="176" t="s">
        <v>105</v>
      </c>
      <c r="P25" s="179">
        <f>'16'!Q15</f>
        <v>4369</v>
      </c>
      <c r="Q25" s="180">
        <f>'17'!$D$14</f>
        <v>3310.857</v>
      </c>
      <c r="R25" s="373">
        <f>'17'!$H$14</f>
        <v>212563</v>
      </c>
      <c r="S25" s="177">
        <f>'17'!$I$14</f>
        <v>3082.5</v>
      </c>
      <c r="T25" s="177">
        <f>'17'!J14</f>
        <v>3745</v>
      </c>
      <c r="U25" s="176" t="s">
        <v>105</v>
      </c>
      <c r="V25" s="889">
        <f>SUM(C25:U25)</f>
        <v>282663.357</v>
      </c>
      <c r="X25" s="7"/>
      <c r="Z25" s="9"/>
    </row>
    <row r="26" spans="1:24" ht="12" customHeight="1">
      <c r="A26" s="273" t="s">
        <v>51</v>
      </c>
      <c r="B26" s="183" t="s">
        <v>29</v>
      </c>
      <c r="C26" s="184" t="s">
        <v>105</v>
      </c>
      <c r="D26" s="185" t="s">
        <v>105</v>
      </c>
      <c r="E26" s="186" t="s">
        <v>105</v>
      </c>
      <c r="F26" s="187" t="s">
        <v>105</v>
      </c>
      <c r="G26" s="187" t="s">
        <v>105</v>
      </c>
      <c r="H26" s="186" t="s">
        <v>105</v>
      </c>
      <c r="I26" s="184" t="s">
        <v>105</v>
      </c>
      <c r="J26" s="185" t="s">
        <v>105</v>
      </c>
      <c r="K26" s="186" t="s">
        <v>105</v>
      </c>
      <c r="L26" s="187" t="s">
        <v>105</v>
      </c>
      <c r="M26" s="187" t="s">
        <v>105</v>
      </c>
      <c r="N26" s="187" t="s">
        <v>105</v>
      </c>
      <c r="O26" s="186" t="s">
        <v>105</v>
      </c>
      <c r="P26" s="188">
        <f>'16'!Q16</f>
        <v>4708</v>
      </c>
      <c r="Q26" s="189" t="s">
        <v>105</v>
      </c>
      <c r="R26" s="186">
        <f>'17'!$H$15</f>
        <v>23.5</v>
      </c>
      <c r="S26" s="187" t="s">
        <v>105</v>
      </c>
      <c r="T26" s="187">
        <f>'17'!J15</f>
        <v>1670</v>
      </c>
      <c r="U26" s="186" t="s">
        <v>105</v>
      </c>
      <c r="V26" s="190">
        <f>SUM(C26:U26)</f>
        <v>6401.5</v>
      </c>
      <c r="X26" s="7"/>
    </row>
    <row r="27" spans="1:24" ht="12" customHeight="1">
      <c r="A27" s="182"/>
      <c r="B27" s="183" t="s">
        <v>39</v>
      </c>
      <c r="C27" s="184" t="s">
        <v>105</v>
      </c>
      <c r="D27" s="185" t="s">
        <v>105</v>
      </c>
      <c r="E27" s="186" t="s">
        <v>105</v>
      </c>
      <c r="F27" s="187" t="s">
        <v>105</v>
      </c>
      <c r="G27" s="187" t="s">
        <v>105</v>
      </c>
      <c r="H27" s="186" t="s">
        <v>105</v>
      </c>
      <c r="I27" s="184" t="s">
        <v>105</v>
      </c>
      <c r="J27" s="185" t="s">
        <v>105</v>
      </c>
      <c r="K27" s="186" t="s">
        <v>105</v>
      </c>
      <c r="L27" s="187" t="s">
        <v>105</v>
      </c>
      <c r="M27" s="187" t="s">
        <v>105</v>
      </c>
      <c r="N27" s="187" t="s">
        <v>105</v>
      </c>
      <c r="O27" s="186" t="s">
        <v>105</v>
      </c>
      <c r="P27" s="188">
        <f>'16'!Q17</f>
        <v>15378</v>
      </c>
      <c r="Q27" s="189" t="s">
        <v>105</v>
      </c>
      <c r="R27" s="186">
        <f>'17'!$H$16</f>
        <v>565</v>
      </c>
      <c r="S27" s="187" t="s">
        <v>105</v>
      </c>
      <c r="T27" s="187" t="s">
        <v>105</v>
      </c>
      <c r="U27" s="187" t="s">
        <v>105</v>
      </c>
      <c r="V27" s="190">
        <f>SUM(C27:U27)</f>
        <v>15943</v>
      </c>
      <c r="X27" s="7"/>
    </row>
    <row r="28" spans="1:24" ht="12" customHeight="1" thickBot="1">
      <c r="A28" s="191"/>
      <c r="B28" s="192" t="s">
        <v>157</v>
      </c>
      <c r="C28" s="193" t="s">
        <v>105</v>
      </c>
      <c r="D28" s="194" t="s">
        <v>105</v>
      </c>
      <c r="E28" s="195" t="s">
        <v>105</v>
      </c>
      <c r="F28" s="196" t="s">
        <v>105</v>
      </c>
      <c r="G28" s="196" t="s">
        <v>105</v>
      </c>
      <c r="H28" s="195" t="s">
        <v>105</v>
      </c>
      <c r="I28" s="193" t="s">
        <v>105</v>
      </c>
      <c r="J28" s="194" t="s">
        <v>105</v>
      </c>
      <c r="K28" s="195" t="s">
        <v>105</v>
      </c>
      <c r="L28" s="196" t="s">
        <v>105</v>
      </c>
      <c r="M28" s="196" t="s">
        <v>105</v>
      </c>
      <c r="N28" s="196" t="s">
        <v>105</v>
      </c>
      <c r="O28" s="195" t="s">
        <v>105</v>
      </c>
      <c r="P28" s="197">
        <f>'16'!Q18</f>
        <v>6212</v>
      </c>
      <c r="Q28" s="198">
        <f>'17'!$D$17</f>
        <v>6</v>
      </c>
      <c r="R28" s="195">
        <f>'17'!$H$17</f>
        <v>104</v>
      </c>
      <c r="S28" s="196">
        <f>'17'!$I$17</f>
        <v>156</v>
      </c>
      <c r="T28" s="187" t="s">
        <v>105</v>
      </c>
      <c r="U28" s="187" t="s">
        <v>105</v>
      </c>
      <c r="V28" s="199">
        <f>SUM(C28:U28)</f>
        <v>6478</v>
      </c>
      <c r="X28" s="7"/>
    </row>
    <row r="29" spans="1:24" ht="12" customHeight="1" thickBot="1" thickTop="1">
      <c r="A29" s="1344" t="s">
        <v>14</v>
      </c>
      <c r="B29" s="1345"/>
      <c r="C29" s="274">
        <f aca="true" t="shared" si="5" ref="C29:O29">SUM(C25:C28)</f>
        <v>1684</v>
      </c>
      <c r="D29" s="365">
        <f t="shared" si="5"/>
        <v>0</v>
      </c>
      <c r="E29" s="204">
        <f t="shared" si="5"/>
        <v>0</v>
      </c>
      <c r="F29" s="205">
        <f t="shared" si="5"/>
        <v>53909</v>
      </c>
      <c r="G29" s="205">
        <f t="shared" si="5"/>
        <v>0</v>
      </c>
      <c r="H29" s="204">
        <f t="shared" si="5"/>
        <v>0</v>
      </c>
      <c r="I29" s="274">
        <f t="shared" si="5"/>
        <v>0</v>
      </c>
      <c r="J29" s="365">
        <f t="shared" si="5"/>
        <v>0</v>
      </c>
      <c r="K29" s="204">
        <f t="shared" si="5"/>
        <v>0</v>
      </c>
      <c r="L29" s="205">
        <f t="shared" si="5"/>
        <v>0</v>
      </c>
      <c r="M29" s="205">
        <f t="shared" si="5"/>
        <v>0</v>
      </c>
      <c r="N29" s="205">
        <f t="shared" si="5"/>
        <v>0</v>
      </c>
      <c r="O29" s="204">
        <f t="shared" si="5"/>
        <v>0</v>
      </c>
      <c r="P29" s="202">
        <f aca="true" t="shared" si="6" ref="P29:V29">SUM(P25:P28)</f>
        <v>30667</v>
      </c>
      <c r="Q29" s="203">
        <f t="shared" si="6"/>
        <v>3316.857</v>
      </c>
      <c r="R29" s="369">
        <f t="shared" si="6"/>
        <v>213255.5</v>
      </c>
      <c r="S29" s="205">
        <f t="shared" si="6"/>
        <v>3238.5</v>
      </c>
      <c r="T29" s="205">
        <f t="shared" si="6"/>
        <v>5415</v>
      </c>
      <c r="U29" s="204">
        <f t="shared" si="6"/>
        <v>0</v>
      </c>
      <c r="V29" s="374">
        <f t="shared" si="6"/>
        <v>311485.857</v>
      </c>
      <c r="X29" s="7"/>
    </row>
    <row r="30" spans="1:24" ht="12" customHeight="1" thickTop="1">
      <c r="A30" s="275" t="s">
        <v>23</v>
      </c>
      <c r="B30" s="276" t="s">
        <v>48</v>
      </c>
      <c r="C30" s="277" t="s">
        <v>105</v>
      </c>
      <c r="D30" s="278" t="s">
        <v>105</v>
      </c>
      <c r="E30" s="279" t="s">
        <v>105</v>
      </c>
      <c r="F30" s="280" t="s">
        <v>105</v>
      </c>
      <c r="G30" s="280" t="s">
        <v>105</v>
      </c>
      <c r="H30" s="279" t="s">
        <v>105</v>
      </c>
      <c r="I30" s="281" t="s">
        <v>105</v>
      </c>
      <c r="J30" s="278" t="s">
        <v>105</v>
      </c>
      <c r="K30" s="279" t="s">
        <v>105</v>
      </c>
      <c r="L30" s="280" t="s">
        <v>105</v>
      </c>
      <c r="M30" s="280" t="s">
        <v>105</v>
      </c>
      <c r="N30" s="280" t="s">
        <v>105</v>
      </c>
      <c r="O30" s="279" t="s">
        <v>105</v>
      </c>
      <c r="P30" s="282">
        <f>'16'!$T$36</f>
        <v>10781</v>
      </c>
      <c r="Q30" s="375">
        <f>'17'!$D$34</f>
        <v>6</v>
      </c>
      <c r="R30" s="376">
        <f>'17'!$H$34</f>
        <v>62</v>
      </c>
      <c r="S30" s="377" t="s">
        <v>105</v>
      </c>
      <c r="T30" s="377" t="s">
        <v>105</v>
      </c>
      <c r="U30" s="376" t="s">
        <v>105</v>
      </c>
      <c r="V30" s="282">
        <f aca="true" t="shared" si="7" ref="V30:V35">SUM(C30:U30)</f>
        <v>10849</v>
      </c>
      <c r="X30" s="7"/>
    </row>
    <row r="31" spans="1:24" ht="12" customHeight="1">
      <c r="A31" s="283" t="s">
        <v>50</v>
      </c>
      <c r="B31" s="284" t="s">
        <v>40</v>
      </c>
      <c r="C31" s="285" t="s">
        <v>105</v>
      </c>
      <c r="D31" s="286" t="s">
        <v>105</v>
      </c>
      <c r="E31" s="287" t="s">
        <v>105</v>
      </c>
      <c r="F31" s="288" t="s">
        <v>105</v>
      </c>
      <c r="G31" s="288" t="s">
        <v>105</v>
      </c>
      <c r="H31" s="287" t="s">
        <v>105</v>
      </c>
      <c r="I31" s="289" t="s">
        <v>105</v>
      </c>
      <c r="J31" s="286" t="s">
        <v>105</v>
      </c>
      <c r="K31" s="351">
        <f>'16'!$L$38</f>
        <v>3037</v>
      </c>
      <c r="L31" s="352">
        <f>'16'!$M$38</f>
        <v>1992</v>
      </c>
      <c r="M31" s="288" t="s">
        <v>105</v>
      </c>
      <c r="N31" s="288" t="s">
        <v>105</v>
      </c>
      <c r="O31" s="287" t="s">
        <v>105</v>
      </c>
      <c r="P31" s="290">
        <f>'16'!$Q$38</f>
        <v>3392</v>
      </c>
      <c r="Q31" s="378">
        <f>'17'!$D$35</f>
        <v>116</v>
      </c>
      <c r="R31" s="351">
        <f>'17'!$H$35</f>
        <v>5557</v>
      </c>
      <c r="S31" s="352">
        <f>'17'!$I$35</f>
        <v>240</v>
      </c>
      <c r="T31" s="352">
        <f>'17'!$J$35</f>
        <v>677.5</v>
      </c>
      <c r="U31" s="351">
        <f>'17'!$K$35</f>
        <v>480</v>
      </c>
      <c r="V31" s="290">
        <f t="shared" si="7"/>
        <v>15491.5</v>
      </c>
      <c r="X31" s="7"/>
    </row>
    <row r="32" spans="1:24" ht="12" customHeight="1">
      <c r="A32" s="291"/>
      <c r="B32" s="284" t="s">
        <v>41</v>
      </c>
      <c r="C32" s="285" t="s">
        <v>105</v>
      </c>
      <c r="D32" s="286" t="s">
        <v>105</v>
      </c>
      <c r="E32" s="287" t="s">
        <v>105</v>
      </c>
      <c r="F32" s="288" t="s">
        <v>105</v>
      </c>
      <c r="G32" s="288" t="s">
        <v>105</v>
      </c>
      <c r="H32" s="287" t="s">
        <v>105</v>
      </c>
      <c r="I32" s="289" t="s">
        <v>105</v>
      </c>
      <c r="J32" s="286" t="s">
        <v>105</v>
      </c>
      <c r="K32" s="287" t="s">
        <v>105</v>
      </c>
      <c r="L32" s="288" t="s">
        <v>105</v>
      </c>
      <c r="M32" s="288" t="s">
        <v>105</v>
      </c>
      <c r="N32" s="288" t="s">
        <v>105</v>
      </c>
      <c r="O32" s="287" t="s">
        <v>105</v>
      </c>
      <c r="P32" s="290">
        <f>'16'!$Q$40</f>
        <v>5818</v>
      </c>
      <c r="Q32" s="378" t="s">
        <v>105</v>
      </c>
      <c r="R32" s="351" t="s">
        <v>105</v>
      </c>
      <c r="S32" s="352" t="s">
        <v>105</v>
      </c>
      <c r="T32" s="352" t="s">
        <v>105</v>
      </c>
      <c r="U32" s="351" t="s">
        <v>105</v>
      </c>
      <c r="V32" s="290">
        <f t="shared" si="7"/>
        <v>5818</v>
      </c>
      <c r="X32" s="7"/>
    </row>
    <row r="33" spans="1:24" ht="12" customHeight="1">
      <c r="A33" s="291"/>
      <c r="B33" s="284" t="s">
        <v>159</v>
      </c>
      <c r="C33" s="285" t="s">
        <v>105</v>
      </c>
      <c r="D33" s="286" t="s">
        <v>105</v>
      </c>
      <c r="E33" s="287" t="s">
        <v>105</v>
      </c>
      <c r="F33" s="288" t="s">
        <v>105</v>
      </c>
      <c r="G33" s="288" t="s">
        <v>105</v>
      </c>
      <c r="H33" s="287" t="s">
        <v>105</v>
      </c>
      <c r="I33" s="289" t="s">
        <v>105</v>
      </c>
      <c r="J33" s="286" t="s">
        <v>105</v>
      </c>
      <c r="K33" s="287" t="s">
        <v>105</v>
      </c>
      <c r="L33" s="288" t="s">
        <v>105</v>
      </c>
      <c r="M33" s="288" t="s">
        <v>105</v>
      </c>
      <c r="N33" s="288" t="s">
        <v>105</v>
      </c>
      <c r="O33" s="287" t="s">
        <v>105</v>
      </c>
      <c r="P33" s="290">
        <f>'16'!$Q$39</f>
        <v>4419</v>
      </c>
      <c r="Q33" s="378" t="s">
        <v>105</v>
      </c>
      <c r="R33" s="351">
        <f>'17'!$H$36</f>
        <v>190</v>
      </c>
      <c r="S33" s="352" t="s">
        <v>105</v>
      </c>
      <c r="T33" s="352" t="s">
        <v>105</v>
      </c>
      <c r="U33" s="351" t="s">
        <v>105</v>
      </c>
      <c r="V33" s="290">
        <f t="shared" si="7"/>
        <v>4609</v>
      </c>
      <c r="X33" s="7"/>
    </row>
    <row r="34" spans="1:24" ht="12" customHeight="1">
      <c r="A34" s="291"/>
      <c r="B34" s="284" t="s">
        <v>42</v>
      </c>
      <c r="C34" s="285" t="s">
        <v>105</v>
      </c>
      <c r="D34" s="286" t="s">
        <v>105</v>
      </c>
      <c r="E34" s="287" t="s">
        <v>105</v>
      </c>
      <c r="F34" s="288" t="s">
        <v>105</v>
      </c>
      <c r="G34" s="288" t="s">
        <v>105</v>
      </c>
      <c r="H34" s="287" t="s">
        <v>105</v>
      </c>
      <c r="I34" s="289" t="s">
        <v>105</v>
      </c>
      <c r="J34" s="286" t="s">
        <v>105</v>
      </c>
      <c r="K34" s="287" t="s">
        <v>105</v>
      </c>
      <c r="L34" s="288" t="s">
        <v>105</v>
      </c>
      <c r="M34" s="288" t="s">
        <v>105</v>
      </c>
      <c r="N34" s="288" t="s">
        <v>105</v>
      </c>
      <c r="O34" s="287" t="s">
        <v>105</v>
      </c>
      <c r="P34" s="290">
        <f>'16'!Q41</f>
        <v>2834</v>
      </c>
      <c r="Q34" s="378" t="s">
        <v>105</v>
      </c>
      <c r="R34" s="351" t="s">
        <v>105</v>
      </c>
      <c r="S34" s="352">
        <f>'17'!$I$38</f>
        <v>28</v>
      </c>
      <c r="T34" s="352" t="s">
        <v>105</v>
      </c>
      <c r="U34" s="351" t="s">
        <v>105</v>
      </c>
      <c r="V34" s="290">
        <f t="shared" si="7"/>
        <v>2862</v>
      </c>
      <c r="X34" s="7"/>
    </row>
    <row r="35" spans="1:24" ht="12" customHeight="1" thickBot="1">
      <c r="A35" s="292"/>
      <c r="B35" s="293" t="s">
        <v>167</v>
      </c>
      <c r="C35" s="294" t="s">
        <v>105</v>
      </c>
      <c r="D35" s="295" t="s">
        <v>105</v>
      </c>
      <c r="E35" s="296" t="s">
        <v>105</v>
      </c>
      <c r="F35" s="297" t="s">
        <v>105</v>
      </c>
      <c r="G35" s="297" t="s">
        <v>105</v>
      </c>
      <c r="H35" s="296" t="s">
        <v>105</v>
      </c>
      <c r="I35" s="298" t="s">
        <v>105</v>
      </c>
      <c r="J35" s="295" t="s">
        <v>105</v>
      </c>
      <c r="K35" s="296" t="s">
        <v>105</v>
      </c>
      <c r="L35" s="297" t="s">
        <v>105</v>
      </c>
      <c r="M35" s="297" t="s">
        <v>105</v>
      </c>
      <c r="N35" s="297" t="s">
        <v>105</v>
      </c>
      <c r="O35" s="296" t="s">
        <v>105</v>
      </c>
      <c r="P35" s="299">
        <f>'16'!Q42</f>
        <v>265</v>
      </c>
      <c r="Q35" s="379" t="s">
        <v>105</v>
      </c>
      <c r="R35" s="380">
        <f>'17'!$H$39</f>
        <v>2540</v>
      </c>
      <c r="S35" s="381" t="s">
        <v>105</v>
      </c>
      <c r="T35" s="381"/>
      <c r="U35" s="380" t="s">
        <v>105</v>
      </c>
      <c r="V35" s="299">
        <f t="shared" si="7"/>
        <v>2805</v>
      </c>
      <c r="X35" s="7"/>
    </row>
    <row r="36" spans="1:24" ht="12" customHeight="1" thickBot="1" thickTop="1">
      <c r="A36" s="1346" t="s">
        <v>14</v>
      </c>
      <c r="B36" s="1347"/>
      <c r="C36" s="300">
        <f aca="true" t="shared" si="8" ref="C36:J36">SUM(C30:C35)</f>
        <v>0</v>
      </c>
      <c r="D36" s="301">
        <f t="shared" si="8"/>
        <v>0</v>
      </c>
      <c r="E36" s="302">
        <f t="shared" si="8"/>
        <v>0</v>
      </c>
      <c r="F36" s="303">
        <f t="shared" si="8"/>
        <v>0</v>
      </c>
      <c r="G36" s="303">
        <f t="shared" si="8"/>
        <v>0</v>
      </c>
      <c r="H36" s="302">
        <f t="shared" si="8"/>
        <v>0</v>
      </c>
      <c r="I36" s="300">
        <f t="shared" si="8"/>
        <v>0</v>
      </c>
      <c r="J36" s="301">
        <f t="shared" si="8"/>
        <v>0</v>
      </c>
      <c r="K36" s="302">
        <f aca="true" t="shared" si="9" ref="K36:V36">SUM(K30:K35)</f>
        <v>3037</v>
      </c>
      <c r="L36" s="303">
        <f t="shared" si="9"/>
        <v>1992</v>
      </c>
      <c r="M36" s="303">
        <f aca="true" t="shared" si="10" ref="M36:R36">SUM(M30:M35)</f>
        <v>0</v>
      </c>
      <c r="N36" s="303">
        <f t="shared" si="10"/>
        <v>0</v>
      </c>
      <c r="O36" s="302">
        <f t="shared" si="10"/>
        <v>0</v>
      </c>
      <c r="P36" s="304">
        <f t="shared" si="10"/>
        <v>27509</v>
      </c>
      <c r="Q36" s="305">
        <f t="shared" si="10"/>
        <v>122</v>
      </c>
      <c r="R36" s="302">
        <f t="shared" si="10"/>
        <v>8349</v>
      </c>
      <c r="S36" s="303">
        <f t="shared" si="9"/>
        <v>268</v>
      </c>
      <c r="T36" s="303">
        <f t="shared" si="9"/>
        <v>677.5</v>
      </c>
      <c r="U36" s="302">
        <f t="shared" si="9"/>
        <v>480</v>
      </c>
      <c r="V36" s="304">
        <f t="shared" si="9"/>
        <v>42434.5</v>
      </c>
      <c r="X36" s="7"/>
    </row>
    <row r="37" spans="1:24" ht="12" customHeight="1" thickTop="1">
      <c r="A37" s="306" t="s">
        <v>43</v>
      </c>
      <c r="B37" s="307" t="s">
        <v>44</v>
      </c>
      <c r="C37" s="308" t="s">
        <v>105</v>
      </c>
      <c r="D37" s="309" t="s">
        <v>105</v>
      </c>
      <c r="E37" s="310" t="s">
        <v>105</v>
      </c>
      <c r="F37" s="311" t="s">
        <v>105</v>
      </c>
      <c r="G37" s="311" t="s">
        <v>105</v>
      </c>
      <c r="H37" s="310" t="s">
        <v>105</v>
      </c>
      <c r="I37" s="312" t="s">
        <v>105</v>
      </c>
      <c r="J37" s="309" t="s">
        <v>105</v>
      </c>
      <c r="K37" s="310" t="s">
        <v>105</v>
      </c>
      <c r="L37" s="311" t="s">
        <v>105</v>
      </c>
      <c r="M37" s="311" t="s">
        <v>105</v>
      </c>
      <c r="N37" s="311" t="s">
        <v>105</v>
      </c>
      <c r="O37" s="310" t="s">
        <v>105</v>
      </c>
      <c r="P37" s="354">
        <f>'16'!Q28</f>
        <v>2508</v>
      </c>
      <c r="Q37" s="313" t="s">
        <v>105</v>
      </c>
      <c r="R37" s="310" t="s">
        <v>105</v>
      </c>
      <c r="S37" s="382">
        <f>'17'!$I$27</f>
        <v>100</v>
      </c>
      <c r="T37" s="311" t="s">
        <v>105</v>
      </c>
      <c r="U37" s="888">
        <f>'17'!$K$27</f>
        <v>12</v>
      </c>
      <c r="V37" s="314">
        <f>SUM(C37:U37)</f>
        <v>2620</v>
      </c>
      <c r="X37" s="7"/>
    </row>
    <row r="38" spans="1:24" ht="12" customHeight="1">
      <c r="A38" s="315"/>
      <c r="B38" s="316" t="s">
        <v>66</v>
      </c>
      <c r="C38" s="317" t="s">
        <v>105</v>
      </c>
      <c r="D38" s="318" t="s">
        <v>105</v>
      </c>
      <c r="E38" s="319" t="s">
        <v>105</v>
      </c>
      <c r="F38" s="320" t="s">
        <v>105</v>
      </c>
      <c r="G38" s="320" t="s">
        <v>105</v>
      </c>
      <c r="H38" s="319" t="s">
        <v>105</v>
      </c>
      <c r="I38" s="321" t="s">
        <v>105</v>
      </c>
      <c r="J38" s="318" t="s">
        <v>105</v>
      </c>
      <c r="K38" s="319" t="s">
        <v>105</v>
      </c>
      <c r="L38" s="320" t="s">
        <v>105</v>
      </c>
      <c r="M38" s="320" t="s">
        <v>105</v>
      </c>
      <c r="N38" s="320" t="s">
        <v>105</v>
      </c>
      <c r="O38" s="319" t="s">
        <v>105</v>
      </c>
      <c r="P38" s="355">
        <f>'16'!Q29</f>
        <v>2729</v>
      </c>
      <c r="Q38" s="322" t="s">
        <v>105</v>
      </c>
      <c r="R38" s="319" t="s">
        <v>105</v>
      </c>
      <c r="S38" s="320" t="s">
        <v>105</v>
      </c>
      <c r="T38" s="320" t="s">
        <v>105</v>
      </c>
      <c r="U38" s="319" t="s">
        <v>105</v>
      </c>
      <c r="V38" s="323">
        <f>SUM(C38:U38)</f>
        <v>2729</v>
      </c>
      <c r="X38" s="7"/>
    </row>
    <row r="39" spans="1:24" ht="12" customHeight="1" thickBot="1">
      <c r="A39" s="324"/>
      <c r="B39" s="325" t="s">
        <v>43</v>
      </c>
      <c r="C39" s="326" t="s">
        <v>105</v>
      </c>
      <c r="D39" s="327" t="s">
        <v>105</v>
      </c>
      <c r="E39" s="328" t="s">
        <v>105</v>
      </c>
      <c r="F39" s="329" t="s">
        <v>105</v>
      </c>
      <c r="G39" s="329" t="s">
        <v>105</v>
      </c>
      <c r="H39" s="328" t="s">
        <v>105</v>
      </c>
      <c r="I39" s="330" t="s">
        <v>105</v>
      </c>
      <c r="J39" s="327" t="s">
        <v>105</v>
      </c>
      <c r="K39" s="328" t="s">
        <v>105</v>
      </c>
      <c r="L39" s="329" t="s">
        <v>105</v>
      </c>
      <c r="M39" s="383">
        <f>'16'!$N$30</f>
        <v>30571</v>
      </c>
      <c r="N39" s="353">
        <f>'16'!$O$30</f>
        <v>4045</v>
      </c>
      <c r="O39" s="328" t="s">
        <v>105</v>
      </c>
      <c r="P39" s="356">
        <f>'16'!Q30</f>
        <v>556</v>
      </c>
      <c r="Q39" s="331" t="s">
        <v>105</v>
      </c>
      <c r="R39" s="328" t="s">
        <v>105</v>
      </c>
      <c r="S39" s="329" t="s">
        <v>105</v>
      </c>
      <c r="T39" s="329" t="s">
        <v>105</v>
      </c>
      <c r="U39" s="328" t="s">
        <v>105</v>
      </c>
      <c r="V39" s="332">
        <f>SUM(C39:U39)</f>
        <v>35172</v>
      </c>
      <c r="X39" s="493"/>
    </row>
    <row r="40" spans="1:22" ht="12" customHeight="1" thickBot="1" thickTop="1">
      <c r="A40" s="1340" t="s">
        <v>14</v>
      </c>
      <c r="B40" s="1341"/>
      <c r="C40" s="333">
        <f aca="true" t="shared" si="11" ref="C40:L40">SUM(C37:C39)</f>
        <v>0</v>
      </c>
      <c r="D40" s="334">
        <f t="shared" si="11"/>
        <v>0</v>
      </c>
      <c r="E40" s="335">
        <f t="shared" si="11"/>
        <v>0</v>
      </c>
      <c r="F40" s="336">
        <f t="shared" si="11"/>
        <v>0</v>
      </c>
      <c r="G40" s="336">
        <f t="shared" si="11"/>
        <v>0</v>
      </c>
      <c r="H40" s="335">
        <f t="shared" si="11"/>
        <v>0</v>
      </c>
      <c r="I40" s="333">
        <f t="shared" si="11"/>
        <v>0</v>
      </c>
      <c r="J40" s="334">
        <f t="shared" si="11"/>
        <v>0</v>
      </c>
      <c r="K40" s="335">
        <f t="shared" si="11"/>
        <v>0</v>
      </c>
      <c r="L40" s="336">
        <f t="shared" si="11"/>
        <v>0</v>
      </c>
      <c r="M40" s="337">
        <f aca="true" t="shared" si="12" ref="M40:V40">SUM(M37:M39)</f>
        <v>30571</v>
      </c>
      <c r="N40" s="336">
        <f t="shared" si="12"/>
        <v>4045</v>
      </c>
      <c r="O40" s="335">
        <f t="shared" si="12"/>
        <v>0</v>
      </c>
      <c r="P40" s="338">
        <f t="shared" si="12"/>
        <v>5793</v>
      </c>
      <c r="Q40" s="339">
        <f t="shared" si="12"/>
        <v>0</v>
      </c>
      <c r="R40" s="335">
        <f t="shared" si="12"/>
        <v>0</v>
      </c>
      <c r="S40" s="336">
        <f t="shared" si="12"/>
        <v>100</v>
      </c>
      <c r="T40" s="336">
        <f t="shared" si="12"/>
        <v>0</v>
      </c>
      <c r="U40" s="335">
        <f t="shared" si="12"/>
        <v>12</v>
      </c>
      <c r="V40" s="340">
        <f t="shared" si="12"/>
        <v>40521</v>
      </c>
    </row>
    <row r="41" spans="1:25" ht="15" customHeight="1" thickBot="1" thickTop="1">
      <c r="A41" s="1342" t="s">
        <v>106</v>
      </c>
      <c r="B41" s="1343"/>
      <c r="C41" s="343">
        <f aca="true" t="shared" si="13" ref="C41:V41">+C12+C16+C20+C24+C29+C36+C40</f>
        <v>56721</v>
      </c>
      <c r="D41" s="344">
        <f t="shared" si="13"/>
        <v>50732</v>
      </c>
      <c r="E41" s="342">
        <f t="shared" si="13"/>
        <v>39857</v>
      </c>
      <c r="F41" s="345">
        <f t="shared" si="13"/>
        <v>53909</v>
      </c>
      <c r="G41" s="345">
        <f t="shared" si="13"/>
        <v>9619</v>
      </c>
      <c r="H41" s="342">
        <f t="shared" si="13"/>
        <v>5292</v>
      </c>
      <c r="I41" s="343">
        <f t="shared" si="13"/>
        <v>3534</v>
      </c>
      <c r="J41" s="344">
        <f t="shared" si="13"/>
        <v>152</v>
      </c>
      <c r="K41" s="342">
        <f t="shared" si="13"/>
        <v>3037</v>
      </c>
      <c r="L41" s="345">
        <f t="shared" si="13"/>
        <v>1992</v>
      </c>
      <c r="M41" s="341">
        <f t="shared" si="13"/>
        <v>30571</v>
      </c>
      <c r="N41" s="342">
        <f t="shared" si="13"/>
        <v>4045</v>
      </c>
      <c r="O41" s="342">
        <f t="shared" si="13"/>
        <v>6289</v>
      </c>
      <c r="P41" s="346">
        <f t="shared" si="13"/>
        <v>83803</v>
      </c>
      <c r="Q41" s="347">
        <f t="shared" si="13"/>
        <v>7587.665</v>
      </c>
      <c r="R41" s="357">
        <f t="shared" si="13"/>
        <v>492246</v>
      </c>
      <c r="S41" s="345">
        <f t="shared" si="13"/>
        <v>19838.5</v>
      </c>
      <c r="T41" s="345">
        <f t="shared" si="13"/>
        <v>17602.5</v>
      </c>
      <c r="U41" s="342">
        <f t="shared" si="13"/>
        <v>2472</v>
      </c>
      <c r="V41" s="891">
        <f t="shared" si="13"/>
        <v>889299.665</v>
      </c>
      <c r="X41" s="890">
        <f>+Q41+R41+S41+T41+U41</f>
        <v>539746.665</v>
      </c>
      <c r="Y41" s="669" t="s">
        <v>334</v>
      </c>
    </row>
    <row r="42" spans="4:25" ht="15" customHeight="1" thickTop="1">
      <c r="D42" s="348"/>
      <c r="X42" s="9">
        <f>+P41+O41+N41+M41+L41+K41+J41+I41+H41+G41+F41+E41+D41+C41</f>
        <v>349553</v>
      </c>
      <c r="Y42" s="669" t="s">
        <v>335</v>
      </c>
    </row>
    <row r="43" ht="12.75">
      <c r="X43" s="9"/>
    </row>
    <row r="60" ht="12.75">
      <c r="E60" s="496"/>
    </row>
  </sheetData>
  <sheetProtection/>
  <mergeCells count="16">
    <mergeCell ref="A40:B40"/>
    <mergeCell ref="A41:B41"/>
    <mergeCell ref="A16:B16"/>
    <mergeCell ref="A12:B12"/>
    <mergeCell ref="A36:B36"/>
    <mergeCell ref="A29:B29"/>
    <mergeCell ref="A24:B24"/>
    <mergeCell ref="A20:B20"/>
    <mergeCell ref="A4:V4"/>
    <mergeCell ref="A5:V5"/>
    <mergeCell ref="E7:H7"/>
    <mergeCell ref="C7:D7"/>
    <mergeCell ref="K7:O7"/>
    <mergeCell ref="I7:J7"/>
    <mergeCell ref="Q7:U7"/>
    <mergeCell ref="P7:P8"/>
  </mergeCells>
  <printOptions/>
  <pageMargins left="0.2" right="0.2" top="0.393700787401575" bottom="0.196850393700787" header="0.393700787401575" footer="0.15748031496063"/>
  <pageSetup fitToHeight="1" fitToWidth="1" horizontalDpi="300" verticalDpi="300" orientation="landscape" paperSize="9" scale="99" r:id="rId1"/>
  <headerFooter alignWithMargins="0">
    <oddFooter>&amp;C[ 7 ]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7"/>
  <sheetViews>
    <sheetView zoomScale="150" zoomScaleNormal="150" zoomScalePageLayoutView="0" workbookViewId="0" topLeftCell="A1">
      <selection activeCell="M28" sqref="M1:M16384"/>
      <selection activeCell="A1" sqref="A1"/>
    </sheetView>
  </sheetViews>
  <sheetFormatPr defaultColWidth="9.140625" defaultRowHeight="12.75"/>
  <cols>
    <col min="1" max="1" width="27.7109375" style="16" customWidth="1"/>
    <col min="2" max="5" width="6.28125" style="16" customWidth="1"/>
    <col min="6" max="6" width="5.7109375" style="16" customWidth="1"/>
    <col min="7" max="7" width="5.421875" style="16" customWidth="1"/>
    <col min="8" max="8" width="5.7109375" style="16" customWidth="1"/>
    <col min="9" max="11" width="5.28125" style="16" customWidth="1"/>
    <col min="12" max="13" width="6.28125" style="16" customWidth="1"/>
    <col min="14" max="14" width="4.7109375" style="16" customWidth="1"/>
    <col min="15" max="15" width="6.421875" style="399" customWidth="1"/>
    <col min="16" max="16" width="6.7109375" style="16" customWidth="1"/>
  </cols>
  <sheetData>
    <row r="1" ht="12.75">
      <c r="A1" s="15" t="s">
        <v>0</v>
      </c>
    </row>
    <row r="2" ht="12.75">
      <c r="A2" s="15" t="s">
        <v>1</v>
      </c>
    </row>
    <row r="3" ht="12.75">
      <c r="A3" s="15" t="s">
        <v>2</v>
      </c>
    </row>
    <row r="4" spans="1:16" ht="24.75" customHeight="1">
      <c r="A4" s="1352" t="s">
        <v>187</v>
      </c>
      <c r="B4" s="1352"/>
      <c r="C4" s="1352"/>
      <c r="D4" s="1352"/>
      <c r="E4" s="1352"/>
      <c r="F4" s="1352"/>
      <c r="G4" s="1352"/>
      <c r="H4" s="1352"/>
      <c r="I4" s="1352"/>
      <c r="J4" s="1352"/>
      <c r="K4" s="1352"/>
      <c r="L4" s="1352"/>
      <c r="M4" s="1352"/>
      <c r="N4" s="1352"/>
      <c r="O4" s="1352"/>
      <c r="P4" s="1352"/>
    </row>
    <row r="5" spans="1:16" ht="24.75" customHeight="1">
      <c r="A5" s="1353" t="s">
        <v>331</v>
      </c>
      <c r="B5" s="1353"/>
      <c r="C5" s="1353"/>
      <c r="D5" s="1353"/>
      <c r="E5" s="1353"/>
      <c r="F5" s="1353"/>
      <c r="G5" s="1353"/>
      <c r="H5" s="1353"/>
      <c r="I5" s="1353"/>
      <c r="J5" s="1353"/>
      <c r="K5" s="1353"/>
      <c r="L5" s="1353"/>
      <c r="M5" s="1353"/>
      <c r="N5" s="1353"/>
      <c r="O5" s="1353"/>
      <c r="P5" s="1353"/>
    </row>
    <row r="6" spans="1:16" ht="24.75" customHeight="1" thickBot="1">
      <c r="A6" s="401"/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3"/>
      <c r="P6" s="400"/>
    </row>
    <row r="7" spans="1:16" ht="14.25" customHeight="1" thickBot="1" thickTop="1">
      <c r="A7" s="404" t="s">
        <v>19</v>
      </c>
      <c r="B7" s="1354" t="s">
        <v>56</v>
      </c>
      <c r="C7" s="1355"/>
      <c r="D7" s="1356" t="s">
        <v>6</v>
      </c>
      <c r="E7" s="1357"/>
      <c r="F7" s="1357"/>
      <c r="G7" s="1358"/>
      <c r="H7" s="1362" t="s">
        <v>98</v>
      </c>
      <c r="I7" s="1363"/>
      <c r="J7" s="1359" t="s">
        <v>10</v>
      </c>
      <c r="K7" s="1360"/>
      <c r="L7" s="1360"/>
      <c r="M7" s="1360"/>
      <c r="N7" s="1361"/>
      <c r="O7" s="1364" t="s">
        <v>176</v>
      </c>
      <c r="P7" s="405" t="s">
        <v>14</v>
      </c>
    </row>
    <row r="8" spans="1:16" ht="14.25" customHeight="1" thickBot="1" thickTop="1">
      <c r="A8" s="406" t="s">
        <v>18</v>
      </c>
      <c r="B8" s="407" t="s">
        <v>177</v>
      </c>
      <c r="C8" s="408" t="s">
        <v>3</v>
      </c>
      <c r="D8" s="443" t="s">
        <v>4</v>
      </c>
      <c r="E8" s="435" t="s">
        <v>5</v>
      </c>
      <c r="F8" s="409" t="s">
        <v>170</v>
      </c>
      <c r="G8" s="442" t="s">
        <v>171</v>
      </c>
      <c r="H8" s="410" t="s">
        <v>99</v>
      </c>
      <c r="I8" s="441" t="s">
        <v>22</v>
      </c>
      <c r="J8" s="436" t="s">
        <v>172</v>
      </c>
      <c r="K8" s="437" t="s">
        <v>21</v>
      </c>
      <c r="L8" s="437" t="s">
        <v>8</v>
      </c>
      <c r="M8" s="438" t="s">
        <v>165</v>
      </c>
      <c r="N8" s="439" t="s">
        <v>57</v>
      </c>
      <c r="O8" s="1318"/>
      <c r="P8" s="440" t="s">
        <v>103</v>
      </c>
    </row>
    <row r="9" spans="1:18" s="1" customFormat="1" ht="15" customHeight="1" thickTop="1">
      <c r="A9" s="385" t="s">
        <v>62</v>
      </c>
      <c r="B9" s="444" t="s">
        <v>105</v>
      </c>
      <c r="C9" s="445" t="s">
        <v>105</v>
      </c>
      <c r="D9" s="446" t="s">
        <v>105</v>
      </c>
      <c r="E9" s="447" t="s">
        <v>105</v>
      </c>
      <c r="F9" s="448" t="s">
        <v>105</v>
      </c>
      <c r="G9" s="449" t="s">
        <v>105</v>
      </c>
      <c r="H9" s="450" t="s">
        <v>105</v>
      </c>
      <c r="I9" s="451" t="s">
        <v>105</v>
      </c>
      <c r="J9" s="452" t="s">
        <v>105</v>
      </c>
      <c r="K9" s="453" t="s">
        <v>105</v>
      </c>
      <c r="L9" s="453" t="s">
        <v>105</v>
      </c>
      <c r="M9" s="453" t="s">
        <v>105</v>
      </c>
      <c r="N9" s="454" t="s">
        <v>105</v>
      </c>
      <c r="O9" s="455">
        <f>'10'!$E$16</f>
        <v>636</v>
      </c>
      <c r="P9" s="456">
        <f aca="true" t="shared" si="0" ref="P9:P56">SUM(B9:O9)</f>
        <v>636</v>
      </c>
      <c r="Q9" s="8"/>
      <c r="R9" s="6"/>
    </row>
    <row r="10" spans="1:18" s="1" customFormat="1" ht="15" customHeight="1">
      <c r="A10" s="386" t="s">
        <v>123</v>
      </c>
      <c r="B10" s="892">
        <f>'10'!$B$55</f>
        <v>343</v>
      </c>
      <c r="C10" s="458" t="s">
        <v>105</v>
      </c>
      <c r="D10" s="459" t="s">
        <v>105</v>
      </c>
      <c r="E10" s="460" t="s">
        <v>105</v>
      </c>
      <c r="F10" s="461" t="s">
        <v>105</v>
      </c>
      <c r="G10" s="462" t="s">
        <v>105</v>
      </c>
      <c r="H10" s="463" t="s">
        <v>105</v>
      </c>
      <c r="I10" s="429" t="s">
        <v>105</v>
      </c>
      <c r="J10" s="464" t="s">
        <v>105</v>
      </c>
      <c r="K10" s="465" t="s">
        <v>105</v>
      </c>
      <c r="L10" s="465" t="s">
        <v>105</v>
      </c>
      <c r="M10" s="465" t="s">
        <v>105</v>
      </c>
      <c r="N10" s="466" t="s">
        <v>105</v>
      </c>
      <c r="O10" s="467" t="s">
        <v>105</v>
      </c>
      <c r="P10" s="468">
        <f t="shared" si="0"/>
        <v>343</v>
      </c>
      <c r="R10" s="6"/>
    </row>
    <row r="11" spans="1:18" s="1" customFormat="1" ht="15" customHeight="1">
      <c r="A11" s="386" t="s">
        <v>107</v>
      </c>
      <c r="B11" s="892">
        <f>'10'!$B$53</f>
        <v>3039</v>
      </c>
      <c r="C11" s="458">
        <f>'10'!$C$53</f>
        <v>855</v>
      </c>
      <c r="D11" s="459" t="s">
        <v>105</v>
      </c>
      <c r="E11" s="460" t="s">
        <v>105</v>
      </c>
      <c r="F11" s="461" t="s">
        <v>105</v>
      </c>
      <c r="G11" s="462" t="s">
        <v>105</v>
      </c>
      <c r="H11" s="463" t="s">
        <v>105</v>
      </c>
      <c r="I11" s="429" t="s">
        <v>105</v>
      </c>
      <c r="J11" s="464" t="s">
        <v>105</v>
      </c>
      <c r="K11" s="465" t="s">
        <v>105</v>
      </c>
      <c r="L11" s="465" t="s">
        <v>105</v>
      </c>
      <c r="M11" s="465" t="s">
        <v>105</v>
      </c>
      <c r="N11" s="466" t="s">
        <v>105</v>
      </c>
      <c r="O11" s="467" t="s">
        <v>105</v>
      </c>
      <c r="P11" s="468">
        <f t="shared" si="0"/>
        <v>3894</v>
      </c>
      <c r="R11" s="5"/>
    </row>
    <row r="12" spans="1:18" ht="15" customHeight="1">
      <c r="A12" s="387" t="s">
        <v>130</v>
      </c>
      <c r="B12" s="892">
        <f>'10'!$B$52</f>
        <v>1112</v>
      </c>
      <c r="C12" s="458">
        <f>'10'!$C$52</f>
        <v>2188</v>
      </c>
      <c r="D12" s="459" t="s">
        <v>105</v>
      </c>
      <c r="E12" s="460" t="s">
        <v>105</v>
      </c>
      <c r="F12" s="461" t="s">
        <v>105</v>
      </c>
      <c r="G12" s="462" t="s">
        <v>105</v>
      </c>
      <c r="H12" s="463" t="s">
        <v>105</v>
      </c>
      <c r="I12" s="429" t="s">
        <v>105</v>
      </c>
      <c r="J12" s="464" t="s">
        <v>105</v>
      </c>
      <c r="K12" s="465" t="s">
        <v>105</v>
      </c>
      <c r="L12" s="465" t="s">
        <v>105</v>
      </c>
      <c r="M12" s="465" t="s">
        <v>105</v>
      </c>
      <c r="N12" s="466">
        <f>'33'!$L$33</f>
        <v>26</v>
      </c>
      <c r="O12" s="467" t="s">
        <v>105</v>
      </c>
      <c r="P12" s="468">
        <f t="shared" si="0"/>
        <v>3326</v>
      </c>
      <c r="R12" s="6"/>
    </row>
    <row r="13" spans="1:18" ht="15" customHeight="1">
      <c r="A13" s="388" t="s">
        <v>144</v>
      </c>
      <c r="B13" s="457" t="s">
        <v>105</v>
      </c>
      <c r="C13" s="458">
        <f>'10'!$C$18</f>
        <v>1288</v>
      </c>
      <c r="D13" s="459">
        <f>'33'!$B$11</f>
        <v>2907</v>
      </c>
      <c r="E13" s="460">
        <f>'33'!$C$11</f>
        <v>1060</v>
      </c>
      <c r="F13" s="461" t="s">
        <v>105</v>
      </c>
      <c r="G13" s="462" t="s">
        <v>105</v>
      </c>
      <c r="H13" s="463" t="s">
        <v>105</v>
      </c>
      <c r="I13" s="429" t="s">
        <v>105</v>
      </c>
      <c r="J13" s="464" t="s">
        <v>105</v>
      </c>
      <c r="K13" s="465">
        <f>'33'!$I$11</f>
        <v>128</v>
      </c>
      <c r="L13" s="465" t="s">
        <v>105</v>
      </c>
      <c r="M13" s="465" t="s">
        <v>105</v>
      </c>
      <c r="N13" s="466" t="s">
        <v>105</v>
      </c>
      <c r="O13" s="467">
        <f>'10'!$E$18</f>
        <v>7900</v>
      </c>
      <c r="P13" s="468">
        <f t="shared" si="0"/>
        <v>13283</v>
      </c>
      <c r="R13" s="6"/>
    </row>
    <row r="14" spans="1:18" ht="15" customHeight="1">
      <c r="A14" s="388" t="s">
        <v>142</v>
      </c>
      <c r="B14" s="457" t="s">
        <v>105</v>
      </c>
      <c r="C14" s="458" t="s">
        <v>105</v>
      </c>
      <c r="D14" s="459">
        <f>'33'!$B$24</f>
        <v>7272</v>
      </c>
      <c r="E14" s="460">
        <f>'33'!$C$24</f>
        <v>2875</v>
      </c>
      <c r="F14" s="461">
        <f>'33'!$D$24</f>
        <v>103</v>
      </c>
      <c r="G14" s="462">
        <f>'33'!$E$24</f>
        <v>2094</v>
      </c>
      <c r="H14" s="463" t="s">
        <v>105</v>
      </c>
      <c r="I14" s="429" t="s">
        <v>105</v>
      </c>
      <c r="J14" s="464" t="s">
        <v>105</v>
      </c>
      <c r="K14" s="465">
        <f>'33'!$I$24</f>
        <v>55</v>
      </c>
      <c r="L14" s="465" t="s">
        <v>105</v>
      </c>
      <c r="M14" s="465" t="s">
        <v>105</v>
      </c>
      <c r="N14" s="466" t="s">
        <v>105</v>
      </c>
      <c r="O14" s="467">
        <f>'10'!$E$40</f>
        <v>13422</v>
      </c>
      <c r="P14" s="468">
        <f t="shared" si="0"/>
        <v>25821</v>
      </c>
      <c r="R14" s="12"/>
    </row>
    <row r="15" spans="1:18" ht="15" customHeight="1">
      <c r="A15" s="387" t="s">
        <v>151</v>
      </c>
      <c r="B15" s="457" t="s">
        <v>105</v>
      </c>
      <c r="C15" s="458">
        <f>'10'!$C$35</f>
        <v>98</v>
      </c>
      <c r="D15" s="459" t="s">
        <v>105</v>
      </c>
      <c r="E15" s="460" t="s">
        <v>105</v>
      </c>
      <c r="F15" s="461" t="s">
        <v>105</v>
      </c>
      <c r="G15" s="462" t="s">
        <v>105</v>
      </c>
      <c r="H15" s="463" t="s">
        <v>105</v>
      </c>
      <c r="I15" s="429" t="s">
        <v>105</v>
      </c>
      <c r="J15" s="464" t="s">
        <v>105</v>
      </c>
      <c r="K15" s="465" t="s">
        <v>105</v>
      </c>
      <c r="L15" s="465" t="s">
        <v>105</v>
      </c>
      <c r="M15" s="465" t="s">
        <v>105</v>
      </c>
      <c r="N15" s="466" t="s">
        <v>105</v>
      </c>
      <c r="O15" s="467">
        <f>'10'!$E$35</f>
        <v>1454</v>
      </c>
      <c r="P15" s="468">
        <f t="shared" si="0"/>
        <v>1552</v>
      </c>
      <c r="R15" s="12"/>
    </row>
    <row r="16" spans="1:18" ht="15" customHeight="1">
      <c r="A16" s="387" t="s">
        <v>136</v>
      </c>
      <c r="B16" s="457" t="s">
        <v>105</v>
      </c>
      <c r="C16" s="458">
        <f>'10'!$C$34</f>
        <v>553</v>
      </c>
      <c r="D16" s="459" t="s">
        <v>105</v>
      </c>
      <c r="E16" s="460" t="s">
        <v>105</v>
      </c>
      <c r="F16" s="461" t="s">
        <v>105</v>
      </c>
      <c r="G16" s="462" t="s">
        <v>105</v>
      </c>
      <c r="H16" s="463" t="s">
        <v>105</v>
      </c>
      <c r="I16" s="429" t="s">
        <v>105</v>
      </c>
      <c r="J16" s="464" t="s">
        <v>105</v>
      </c>
      <c r="K16" s="465" t="s">
        <v>105</v>
      </c>
      <c r="L16" s="465" t="s">
        <v>105</v>
      </c>
      <c r="M16" s="465" t="s">
        <v>105</v>
      </c>
      <c r="N16" s="466" t="s">
        <v>105</v>
      </c>
      <c r="O16" s="467" t="s">
        <v>105</v>
      </c>
      <c r="P16" s="468">
        <f t="shared" si="0"/>
        <v>553</v>
      </c>
      <c r="R16" s="12"/>
    </row>
    <row r="17" spans="1:18" ht="15" customHeight="1">
      <c r="A17" s="389" t="s">
        <v>153</v>
      </c>
      <c r="B17" s="469" t="s">
        <v>105</v>
      </c>
      <c r="C17" s="458" t="s">
        <v>105</v>
      </c>
      <c r="D17" s="459" t="s">
        <v>105</v>
      </c>
      <c r="E17" s="460" t="s">
        <v>105</v>
      </c>
      <c r="F17" s="461" t="s">
        <v>105</v>
      </c>
      <c r="G17" s="462" t="s">
        <v>105</v>
      </c>
      <c r="H17" s="463" t="s">
        <v>105</v>
      </c>
      <c r="I17" s="429" t="s">
        <v>105</v>
      </c>
      <c r="J17" s="464" t="s">
        <v>105</v>
      </c>
      <c r="K17" s="465" t="s">
        <v>105</v>
      </c>
      <c r="L17" s="465" t="s">
        <v>105</v>
      </c>
      <c r="M17" s="465" t="s">
        <v>105</v>
      </c>
      <c r="N17" s="466" t="s">
        <v>105</v>
      </c>
      <c r="O17" s="467" t="s">
        <v>105</v>
      </c>
      <c r="P17" s="468">
        <f t="shared" si="0"/>
        <v>0</v>
      </c>
      <c r="R17" s="6"/>
    </row>
    <row r="18" spans="1:19" ht="15" customHeight="1">
      <c r="A18" s="388" t="s">
        <v>125</v>
      </c>
      <c r="B18" s="457" t="s">
        <v>105</v>
      </c>
      <c r="C18" s="458" t="s">
        <v>105</v>
      </c>
      <c r="D18" s="459">
        <f>'33'!$B$27</f>
        <v>164</v>
      </c>
      <c r="E18" s="460" t="s">
        <v>105</v>
      </c>
      <c r="F18" s="461" t="s">
        <v>105</v>
      </c>
      <c r="G18" s="462" t="s">
        <v>105</v>
      </c>
      <c r="H18" s="463">
        <f>'33'!$F$27</f>
        <v>1322</v>
      </c>
      <c r="I18" s="429">
        <f>'33'!$G$27</f>
        <v>6</v>
      </c>
      <c r="J18" s="464" t="s">
        <v>105</v>
      </c>
      <c r="K18" s="465" t="s">
        <v>105</v>
      </c>
      <c r="L18" s="465" t="s">
        <v>105</v>
      </c>
      <c r="M18" s="465" t="s">
        <v>105</v>
      </c>
      <c r="N18" s="466">
        <f>'33'!$L$27</f>
        <v>649</v>
      </c>
      <c r="O18" s="467" t="s">
        <v>105</v>
      </c>
      <c r="P18" s="468">
        <f t="shared" si="0"/>
        <v>2141</v>
      </c>
      <c r="R18" s="6"/>
      <c r="S18" s="9">
        <f>+P18+P19</f>
        <v>4819</v>
      </c>
    </row>
    <row r="19" spans="1:18" ht="15" customHeight="1">
      <c r="A19" s="388" t="s">
        <v>137</v>
      </c>
      <c r="B19" s="457">
        <f>'10'!$B$43</f>
        <v>2307</v>
      </c>
      <c r="C19" s="458">
        <f>'10'!$C$43</f>
        <v>371</v>
      </c>
      <c r="D19" s="459" t="s">
        <v>105</v>
      </c>
      <c r="E19" s="460" t="s">
        <v>105</v>
      </c>
      <c r="F19" s="461" t="s">
        <v>105</v>
      </c>
      <c r="G19" s="462" t="s">
        <v>105</v>
      </c>
      <c r="H19" s="463" t="s">
        <v>105</v>
      </c>
      <c r="I19" s="429" t="s">
        <v>105</v>
      </c>
      <c r="J19" s="464" t="s">
        <v>105</v>
      </c>
      <c r="K19" s="465" t="s">
        <v>105</v>
      </c>
      <c r="L19" s="465" t="s">
        <v>105</v>
      </c>
      <c r="M19" s="465" t="s">
        <v>105</v>
      </c>
      <c r="N19" s="466" t="s">
        <v>105</v>
      </c>
      <c r="O19" s="467" t="s">
        <v>105</v>
      </c>
      <c r="P19" s="468">
        <f t="shared" si="0"/>
        <v>2678</v>
      </c>
      <c r="R19" s="5"/>
    </row>
    <row r="20" spans="1:18" ht="15" customHeight="1">
      <c r="A20" s="387" t="s">
        <v>131</v>
      </c>
      <c r="B20" s="457">
        <f>'10'!$B$27</f>
        <v>1697</v>
      </c>
      <c r="C20" s="458">
        <f>'10'!$C$27</f>
        <v>1139</v>
      </c>
      <c r="D20" s="459" t="s">
        <v>105</v>
      </c>
      <c r="E20" s="460" t="s">
        <v>105</v>
      </c>
      <c r="F20" s="461" t="s">
        <v>105</v>
      </c>
      <c r="G20" s="462" t="s">
        <v>105</v>
      </c>
      <c r="H20" s="463" t="s">
        <v>105</v>
      </c>
      <c r="I20" s="429" t="s">
        <v>105</v>
      </c>
      <c r="J20" s="464" t="s">
        <v>105</v>
      </c>
      <c r="K20" s="465" t="s">
        <v>105</v>
      </c>
      <c r="L20" s="465" t="s">
        <v>105</v>
      </c>
      <c r="M20" s="465" t="s">
        <v>105</v>
      </c>
      <c r="N20" s="466">
        <f>'33'!$L$18</f>
        <v>174</v>
      </c>
      <c r="O20" s="467" t="s">
        <v>105</v>
      </c>
      <c r="P20" s="468">
        <f t="shared" si="0"/>
        <v>3010</v>
      </c>
      <c r="R20" s="5"/>
    </row>
    <row r="21" spans="1:16" ht="15" customHeight="1">
      <c r="A21" s="388" t="s">
        <v>141</v>
      </c>
      <c r="B21" s="457" t="s">
        <v>105</v>
      </c>
      <c r="C21" s="458" t="s">
        <v>105</v>
      </c>
      <c r="D21" s="459">
        <f>'33'!$B$13</f>
        <v>150</v>
      </c>
      <c r="E21" s="460">
        <f>'33'!$C$13</f>
        <v>410</v>
      </c>
      <c r="F21" s="461">
        <f>'33'!$D$13</f>
        <v>2</v>
      </c>
      <c r="G21" s="462">
        <f>'33'!$E$13</f>
        <v>12</v>
      </c>
      <c r="H21" s="463" t="s">
        <v>105</v>
      </c>
      <c r="I21" s="429" t="s">
        <v>105</v>
      </c>
      <c r="J21" s="464" t="s">
        <v>105</v>
      </c>
      <c r="K21" s="465" t="s">
        <v>105</v>
      </c>
      <c r="L21" s="465" t="s">
        <v>105</v>
      </c>
      <c r="M21" s="465" t="s">
        <v>105</v>
      </c>
      <c r="N21" s="466" t="s">
        <v>105</v>
      </c>
      <c r="O21" s="467">
        <f>'10'!$E$21</f>
        <v>350</v>
      </c>
      <c r="P21" s="468">
        <f t="shared" si="0"/>
        <v>924</v>
      </c>
    </row>
    <row r="22" spans="1:16" ht="15" customHeight="1">
      <c r="A22" s="390" t="s">
        <v>133</v>
      </c>
      <c r="B22" s="457" t="s">
        <v>105</v>
      </c>
      <c r="C22" s="458">
        <f>'10'!$C$33</f>
        <v>1991</v>
      </c>
      <c r="D22" s="459" t="s">
        <v>105</v>
      </c>
      <c r="E22" s="460" t="s">
        <v>105</v>
      </c>
      <c r="F22" s="461" t="s">
        <v>105</v>
      </c>
      <c r="G22" s="462" t="s">
        <v>105</v>
      </c>
      <c r="H22" s="463" t="s">
        <v>105</v>
      </c>
      <c r="I22" s="429" t="s">
        <v>105</v>
      </c>
      <c r="J22" s="464" t="s">
        <v>105</v>
      </c>
      <c r="K22" s="465" t="s">
        <v>105</v>
      </c>
      <c r="L22" s="465" t="s">
        <v>105</v>
      </c>
      <c r="M22" s="465" t="s">
        <v>105</v>
      </c>
      <c r="N22" s="466" t="s">
        <v>105</v>
      </c>
      <c r="O22" s="467" t="s">
        <v>105</v>
      </c>
      <c r="P22" s="468">
        <f t="shared" si="0"/>
        <v>1991</v>
      </c>
    </row>
    <row r="23" spans="1:16" ht="15" customHeight="1">
      <c r="A23" s="386" t="s">
        <v>115</v>
      </c>
      <c r="B23" s="457">
        <f>'10'!$B$39</f>
        <v>1112</v>
      </c>
      <c r="C23" s="458" t="s">
        <v>105</v>
      </c>
      <c r="D23" s="459">
        <f>'33'!$B$23</f>
        <v>194</v>
      </c>
      <c r="E23" s="460">
        <f>'33'!$C$23</f>
        <v>179</v>
      </c>
      <c r="F23" s="461" t="s">
        <v>105</v>
      </c>
      <c r="G23" s="462" t="s">
        <v>105</v>
      </c>
      <c r="H23" s="463">
        <f>'33'!$F$23</f>
        <v>35</v>
      </c>
      <c r="I23" s="429">
        <f>'33'!$G$23</f>
        <v>14</v>
      </c>
      <c r="J23" s="464" t="s">
        <v>105</v>
      </c>
      <c r="K23" s="465" t="s">
        <v>105</v>
      </c>
      <c r="L23" s="465" t="s">
        <v>105</v>
      </c>
      <c r="M23" s="465" t="s">
        <v>105</v>
      </c>
      <c r="N23" s="466">
        <f>'33'!$L$23</f>
        <v>3</v>
      </c>
      <c r="O23" s="467" t="s">
        <v>105</v>
      </c>
      <c r="P23" s="468">
        <f t="shared" si="0"/>
        <v>1537</v>
      </c>
    </row>
    <row r="24" spans="1:16" ht="15" customHeight="1">
      <c r="A24" s="391" t="s">
        <v>120</v>
      </c>
      <c r="B24" s="457">
        <f>'10'!$B$30</f>
        <v>697</v>
      </c>
      <c r="C24" s="458" t="s">
        <v>105</v>
      </c>
      <c r="D24" s="459" t="s">
        <v>105</v>
      </c>
      <c r="E24" s="460" t="s">
        <v>105</v>
      </c>
      <c r="F24" s="461" t="s">
        <v>105</v>
      </c>
      <c r="G24" s="462" t="s">
        <v>105</v>
      </c>
      <c r="H24" s="463" t="s">
        <v>105</v>
      </c>
      <c r="I24" s="429" t="s">
        <v>105</v>
      </c>
      <c r="J24" s="464" t="s">
        <v>105</v>
      </c>
      <c r="K24" s="465" t="s">
        <v>105</v>
      </c>
      <c r="L24" s="465" t="s">
        <v>105</v>
      </c>
      <c r="M24" s="465" t="s">
        <v>105</v>
      </c>
      <c r="N24" s="466" t="s">
        <v>105</v>
      </c>
      <c r="O24" s="467" t="s">
        <v>105</v>
      </c>
      <c r="P24" s="468">
        <f t="shared" si="0"/>
        <v>697</v>
      </c>
    </row>
    <row r="25" spans="1:16" ht="15" customHeight="1">
      <c r="A25" s="392" t="s">
        <v>112</v>
      </c>
      <c r="B25" s="470">
        <f>'10'!$B$25</f>
        <v>800</v>
      </c>
      <c r="C25" s="471" t="s">
        <v>105</v>
      </c>
      <c r="D25" s="472">
        <f>'33'!$B$16</f>
        <v>166</v>
      </c>
      <c r="E25" s="473">
        <f>'33'!$C$16</f>
        <v>6</v>
      </c>
      <c r="F25" s="461" t="s">
        <v>105</v>
      </c>
      <c r="G25" s="462" t="s">
        <v>105</v>
      </c>
      <c r="H25" s="463">
        <f>'33'!$F$16</f>
        <v>293</v>
      </c>
      <c r="I25" s="429">
        <f>'33'!$G$16</f>
        <v>60</v>
      </c>
      <c r="J25" s="464" t="s">
        <v>105</v>
      </c>
      <c r="K25" s="465" t="s">
        <v>105</v>
      </c>
      <c r="L25" s="465" t="s">
        <v>105</v>
      </c>
      <c r="M25" s="465" t="s">
        <v>105</v>
      </c>
      <c r="N25" s="466">
        <f>'33'!$L$16</f>
        <v>9</v>
      </c>
      <c r="O25" s="467" t="s">
        <v>105</v>
      </c>
      <c r="P25" s="468">
        <f t="shared" si="0"/>
        <v>1334</v>
      </c>
    </row>
    <row r="26" spans="1:16" ht="15" customHeight="1">
      <c r="A26" s="389" t="s">
        <v>145</v>
      </c>
      <c r="B26" s="474" t="s">
        <v>105</v>
      </c>
      <c r="C26" s="458" t="s">
        <v>105</v>
      </c>
      <c r="D26" s="459">
        <f>'33'!$B$32</f>
        <v>1232</v>
      </c>
      <c r="E26" s="460">
        <f>'33'!$C$32</f>
        <v>1688</v>
      </c>
      <c r="F26" s="461">
        <f>'33'!$D$32</f>
        <v>872</v>
      </c>
      <c r="G26" s="462">
        <f>'33'!$E$32</f>
        <v>94</v>
      </c>
      <c r="H26" s="463" t="s">
        <v>105</v>
      </c>
      <c r="I26" s="429" t="s">
        <v>105</v>
      </c>
      <c r="J26" s="464" t="s">
        <v>105</v>
      </c>
      <c r="K26" s="465">
        <f>'33'!$I$32</f>
        <v>331</v>
      </c>
      <c r="L26" s="465" t="s">
        <v>105</v>
      </c>
      <c r="M26" s="465" t="s">
        <v>105</v>
      </c>
      <c r="N26" s="466" t="s">
        <v>105</v>
      </c>
      <c r="O26" s="467">
        <f>'10'!$E$48</f>
        <v>22317</v>
      </c>
      <c r="P26" s="468">
        <f t="shared" si="0"/>
        <v>26534</v>
      </c>
    </row>
    <row r="27" spans="1:16" ht="15" customHeight="1">
      <c r="A27" s="392" t="s">
        <v>114</v>
      </c>
      <c r="B27" s="474">
        <f>'10'!$B$38</f>
        <v>612</v>
      </c>
      <c r="C27" s="458" t="s">
        <v>105</v>
      </c>
      <c r="D27" s="459" t="s">
        <v>105</v>
      </c>
      <c r="E27" s="460" t="s">
        <v>105</v>
      </c>
      <c r="F27" s="461" t="s">
        <v>105</v>
      </c>
      <c r="G27" s="462" t="s">
        <v>105</v>
      </c>
      <c r="H27" s="463" t="s">
        <v>105</v>
      </c>
      <c r="I27" s="429" t="s">
        <v>105</v>
      </c>
      <c r="J27" s="464" t="s">
        <v>105</v>
      </c>
      <c r="K27" s="465" t="s">
        <v>105</v>
      </c>
      <c r="L27" s="465" t="s">
        <v>105</v>
      </c>
      <c r="M27" s="465" t="s">
        <v>105</v>
      </c>
      <c r="N27" s="466" t="s">
        <v>105</v>
      </c>
      <c r="O27" s="467" t="s">
        <v>105</v>
      </c>
      <c r="P27" s="468">
        <f t="shared" si="0"/>
        <v>612</v>
      </c>
    </row>
    <row r="28" spans="1:16" ht="15" customHeight="1">
      <c r="A28" s="389" t="s">
        <v>117</v>
      </c>
      <c r="B28" s="474">
        <f>'10'!$B$58</f>
        <v>1094</v>
      </c>
      <c r="C28" s="458">
        <f>'10'!$C$58</f>
        <v>3094</v>
      </c>
      <c r="D28" s="459" t="s">
        <v>105</v>
      </c>
      <c r="E28" s="460" t="s">
        <v>105</v>
      </c>
      <c r="F28" s="461" t="s">
        <v>105</v>
      </c>
      <c r="G28" s="462" t="s">
        <v>105</v>
      </c>
      <c r="H28" s="463">
        <f>'33'!$F$36</f>
        <v>8</v>
      </c>
      <c r="I28" s="429" t="s">
        <v>105</v>
      </c>
      <c r="J28" s="464" t="s">
        <v>105</v>
      </c>
      <c r="K28" s="465" t="s">
        <v>105</v>
      </c>
      <c r="L28" s="465" t="s">
        <v>105</v>
      </c>
      <c r="M28" s="465" t="s">
        <v>105</v>
      </c>
      <c r="N28" s="466" t="s">
        <v>105</v>
      </c>
      <c r="O28" s="467" t="s">
        <v>105</v>
      </c>
      <c r="P28" s="468">
        <f t="shared" si="0"/>
        <v>4196</v>
      </c>
    </row>
    <row r="29" spans="1:16" ht="15" customHeight="1">
      <c r="A29" s="393" t="s">
        <v>135</v>
      </c>
      <c r="B29" s="474" t="s">
        <v>105</v>
      </c>
      <c r="C29" s="458">
        <f>'10'!$C$8</f>
        <v>1467</v>
      </c>
      <c r="D29" s="459" t="s">
        <v>105</v>
      </c>
      <c r="E29" s="460" t="s">
        <v>105</v>
      </c>
      <c r="F29" s="461" t="s">
        <v>105</v>
      </c>
      <c r="G29" s="462" t="s">
        <v>105</v>
      </c>
      <c r="H29" s="463" t="s">
        <v>105</v>
      </c>
      <c r="I29" s="429" t="s">
        <v>105</v>
      </c>
      <c r="J29" s="464" t="s">
        <v>105</v>
      </c>
      <c r="K29" s="465" t="s">
        <v>105</v>
      </c>
      <c r="L29" s="465" t="s">
        <v>105</v>
      </c>
      <c r="M29" s="465" t="s">
        <v>105</v>
      </c>
      <c r="N29" s="466" t="s">
        <v>105</v>
      </c>
      <c r="O29" s="467" t="s">
        <v>105</v>
      </c>
      <c r="P29" s="468">
        <f t="shared" si="0"/>
        <v>1467</v>
      </c>
    </row>
    <row r="30" spans="1:16" ht="15" customHeight="1">
      <c r="A30" s="394" t="s">
        <v>121</v>
      </c>
      <c r="B30" s="474">
        <f>'10'!$B$14</f>
        <v>963</v>
      </c>
      <c r="C30" s="458">
        <f>'10'!$C$14</f>
        <v>135</v>
      </c>
      <c r="D30" s="459" t="s">
        <v>105</v>
      </c>
      <c r="E30" s="460" t="s">
        <v>105</v>
      </c>
      <c r="F30" s="461" t="s">
        <v>105</v>
      </c>
      <c r="G30" s="462" t="s">
        <v>105</v>
      </c>
      <c r="H30" s="463" t="s">
        <v>105</v>
      </c>
      <c r="I30" s="429" t="s">
        <v>105</v>
      </c>
      <c r="J30" s="464" t="s">
        <v>105</v>
      </c>
      <c r="K30" s="465" t="s">
        <v>105</v>
      </c>
      <c r="L30" s="465" t="s">
        <v>105</v>
      </c>
      <c r="M30" s="465" t="s">
        <v>105</v>
      </c>
      <c r="N30" s="466" t="s">
        <v>105</v>
      </c>
      <c r="O30" s="467" t="s">
        <v>105</v>
      </c>
      <c r="P30" s="468">
        <f t="shared" si="0"/>
        <v>1098</v>
      </c>
    </row>
    <row r="31" spans="1:16" ht="15" customHeight="1">
      <c r="A31" s="395" t="s">
        <v>119</v>
      </c>
      <c r="B31" s="474">
        <f>'10'!$B$29</f>
        <v>782</v>
      </c>
      <c r="C31" s="458">
        <f>'10'!$C$29</f>
        <v>41</v>
      </c>
      <c r="D31" s="459" t="s">
        <v>105</v>
      </c>
      <c r="E31" s="460" t="s">
        <v>105</v>
      </c>
      <c r="F31" s="461" t="s">
        <v>105</v>
      </c>
      <c r="G31" s="462" t="s">
        <v>105</v>
      </c>
      <c r="H31" s="463" t="s">
        <v>105</v>
      </c>
      <c r="I31" s="429" t="s">
        <v>105</v>
      </c>
      <c r="J31" s="464" t="s">
        <v>105</v>
      </c>
      <c r="K31" s="465" t="s">
        <v>105</v>
      </c>
      <c r="L31" s="465" t="s">
        <v>105</v>
      </c>
      <c r="M31" s="465" t="s">
        <v>105</v>
      </c>
      <c r="N31" s="466" t="s">
        <v>105</v>
      </c>
      <c r="O31" s="467" t="s">
        <v>105</v>
      </c>
      <c r="P31" s="468">
        <f t="shared" si="0"/>
        <v>823</v>
      </c>
    </row>
    <row r="32" spans="1:16" ht="15" customHeight="1">
      <c r="A32" s="395" t="s">
        <v>93</v>
      </c>
      <c r="B32" s="474">
        <f>'10'!$B$46</f>
        <v>1153</v>
      </c>
      <c r="C32" s="458" t="s">
        <v>105</v>
      </c>
      <c r="D32" s="459">
        <f>'33'!$B$31</f>
        <v>9</v>
      </c>
      <c r="E32" s="460" t="s">
        <v>105</v>
      </c>
      <c r="F32" s="461" t="s">
        <v>105</v>
      </c>
      <c r="G32" s="462" t="s">
        <v>105</v>
      </c>
      <c r="H32" s="463">
        <f>'33'!$F$31</f>
        <v>7</v>
      </c>
      <c r="I32" s="429" t="s">
        <v>105</v>
      </c>
      <c r="J32" s="464" t="s">
        <v>105</v>
      </c>
      <c r="K32" s="465" t="s">
        <v>105</v>
      </c>
      <c r="L32" s="465" t="s">
        <v>105</v>
      </c>
      <c r="M32" s="465" t="s">
        <v>105</v>
      </c>
      <c r="N32" s="466">
        <f>'33'!$L$31</f>
        <v>63</v>
      </c>
      <c r="O32" s="467" t="s">
        <v>105</v>
      </c>
      <c r="P32" s="468">
        <f t="shared" si="0"/>
        <v>1232</v>
      </c>
    </row>
    <row r="33" spans="1:16" ht="15" customHeight="1">
      <c r="A33" s="394" t="s">
        <v>122</v>
      </c>
      <c r="B33" s="474">
        <f>'10'!$B$37</f>
        <v>3525</v>
      </c>
      <c r="C33" s="458">
        <f>'10'!$C$37</f>
        <v>1799</v>
      </c>
      <c r="D33" s="459">
        <f>'33'!$B$22</f>
        <v>5084</v>
      </c>
      <c r="E33" s="460">
        <f>'33'!$C$22</f>
        <v>14900</v>
      </c>
      <c r="F33" s="461">
        <f>'33'!$D$22</f>
        <v>152</v>
      </c>
      <c r="G33" s="462">
        <f>'33'!$E$22</f>
        <v>14</v>
      </c>
      <c r="H33" s="463">
        <f>'33'!$F$22</f>
        <v>753</v>
      </c>
      <c r="I33" s="429">
        <f>'33'!$G$22</f>
        <v>58</v>
      </c>
      <c r="J33" s="464">
        <f>'33'!$H$22</f>
        <v>582</v>
      </c>
      <c r="K33" s="465">
        <f>'33'!$I$22</f>
        <v>415</v>
      </c>
      <c r="L33" s="465" t="s">
        <v>105</v>
      </c>
      <c r="M33" s="465" t="s">
        <v>105</v>
      </c>
      <c r="N33" s="411">
        <f>'33'!$L$22</f>
        <v>2184</v>
      </c>
      <c r="O33" s="467">
        <f>'10'!$E$37</f>
        <v>127</v>
      </c>
      <c r="P33" s="468">
        <f t="shared" si="0"/>
        <v>29593</v>
      </c>
    </row>
    <row r="34" spans="1:16" ht="15" customHeight="1">
      <c r="A34" s="393" t="s">
        <v>134</v>
      </c>
      <c r="B34" s="474">
        <f>'10'!$B$24</f>
        <v>426</v>
      </c>
      <c r="C34" s="458">
        <f>'10'!$C$24</f>
        <v>721</v>
      </c>
      <c r="D34" s="459" t="s">
        <v>105</v>
      </c>
      <c r="E34" s="460" t="s">
        <v>105</v>
      </c>
      <c r="F34" s="461" t="s">
        <v>105</v>
      </c>
      <c r="G34" s="462" t="s">
        <v>105</v>
      </c>
      <c r="H34" s="463" t="s">
        <v>105</v>
      </c>
      <c r="I34" s="429" t="s">
        <v>105</v>
      </c>
      <c r="J34" s="464" t="s">
        <v>105</v>
      </c>
      <c r="K34" s="465" t="s">
        <v>105</v>
      </c>
      <c r="L34" s="465" t="s">
        <v>105</v>
      </c>
      <c r="M34" s="465" t="s">
        <v>105</v>
      </c>
      <c r="N34" s="466">
        <f>'33'!$L$15</f>
        <v>62</v>
      </c>
      <c r="O34" s="467" t="s">
        <v>105</v>
      </c>
      <c r="P34" s="468">
        <f t="shared" si="0"/>
        <v>1209</v>
      </c>
    </row>
    <row r="35" spans="1:16" ht="15" customHeight="1">
      <c r="A35" s="395" t="s">
        <v>147</v>
      </c>
      <c r="B35" s="474" t="s">
        <v>105</v>
      </c>
      <c r="C35" s="458" t="s">
        <v>105</v>
      </c>
      <c r="D35" s="459" t="s">
        <v>105</v>
      </c>
      <c r="E35" s="460" t="s">
        <v>105</v>
      </c>
      <c r="F35" s="461" t="s">
        <v>105</v>
      </c>
      <c r="G35" s="462" t="s">
        <v>105</v>
      </c>
      <c r="H35" s="463" t="s">
        <v>105</v>
      </c>
      <c r="I35" s="429" t="s">
        <v>105</v>
      </c>
      <c r="J35" s="464" t="s">
        <v>105</v>
      </c>
      <c r="K35" s="465" t="s">
        <v>105</v>
      </c>
      <c r="L35" s="465" t="s">
        <v>105</v>
      </c>
      <c r="M35" s="465" t="s">
        <v>105</v>
      </c>
      <c r="N35" s="466" t="s">
        <v>105</v>
      </c>
      <c r="O35" s="467">
        <f>'10'!$E$45</f>
        <v>2111</v>
      </c>
      <c r="P35" s="468">
        <f t="shared" si="0"/>
        <v>2111</v>
      </c>
    </row>
    <row r="36" spans="1:16" ht="15" customHeight="1">
      <c r="A36" s="395" t="s">
        <v>20</v>
      </c>
      <c r="B36" s="474" t="s">
        <v>105</v>
      </c>
      <c r="C36" s="458" t="s">
        <v>105</v>
      </c>
      <c r="D36" s="459">
        <f>'33'!$B$25</f>
        <v>19</v>
      </c>
      <c r="E36" s="460">
        <f>'33'!$C$25</f>
        <v>128</v>
      </c>
      <c r="F36" s="461" t="s">
        <v>105</v>
      </c>
      <c r="G36" s="462" t="s">
        <v>105</v>
      </c>
      <c r="H36" s="463" t="s">
        <v>105</v>
      </c>
      <c r="I36" s="429" t="s">
        <v>105</v>
      </c>
      <c r="J36" s="464" t="s">
        <v>105</v>
      </c>
      <c r="K36" s="465">
        <f>'33'!$I$25</f>
        <v>115</v>
      </c>
      <c r="L36" s="465">
        <f>'33'!$J$25</f>
        <v>3165</v>
      </c>
      <c r="M36" s="465">
        <f>'33'!$K$25</f>
        <v>204</v>
      </c>
      <c r="N36" s="466" t="s">
        <v>105</v>
      </c>
      <c r="O36" s="467">
        <f>'10'!$E$41</f>
        <v>2917</v>
      </c>
      <c r="P36" s="468">
        <f t="shared" si="0"/>
        <v>6548</v>
      </c>
    </row>
    <row r="37" spans="1:16" ht="15" customHeight="1">
      <c r="A37" s="395" t="s">
        <v>129</v>
      </c>
      <c r="B37" s="474">
        <f>'10'!$B$11</f>
        <v>1478</v>
      </c>
      <c r="C37" s="458">
        <f>'10'!$C$11</f>
        <v>713</v>
      </c>
      <c r="D37" s="459" t="s">
        <v>105</v>
      </c>
      <c r="E37" s="460" t="s">
        <v>105</v>
      </c>
      <c r="F37" s="461" t="s">
        <v>105</v>
      </c>
      <c r="G37" s="462" t="s">
        <v>105</v>
      </c>
      <c r="H37" s="463" t="s">
        <v>105</v>
      </c>
      <c r="I37" s="429" t="s">
        <v>105</v>
      </c>
      <c r="J37" s="464" t="s">
        <v>105</v>
      </c>
      <c r="K37" s="465" t="s">
        <v>105</v>
      </c>
      <c r="L37" s="465" t="s">
        <v>105</v>
      </c>
      <c r="M37" s="465" t="s">
        <v>105</v>
      </c>
      <c r="N37" s="466" t="s">
        <v>105</v>
      </c>
      <c r="O37" s="467" t="s">
        <v>105</v>
      </c>
      <c r="P37" s="468">
        <f t="shared" si="0"/>
        <v>2191</v>
      </c>
    </row>
    <row r="38" spans="1:16" ht="15" customHeight="1">
      <c r="A38" s="395" t="s">
        <v>118</v>
      </c>
      <c r="B38" s="474">
        <f>'10'!$B$50</f>
        <v>1553</v>
      </c>
      <c r="C38" s="458">
        <f>'10'!$C$50</f>
        <v>584</v>
      </c>
      <c r="D38" s="459" t="s">
        <v>105</v>
      </c>
      <c r="E38" s="460" t="s">
        <v>105</v>
      </c>
      <c r="F38" s="461" t="s">
        <v>105</v>
      </c>
      <c r="G38" s="462" t="s">
        <v>105</v>
      </c>
      <c r="H38" s="463" t="s">
        <v>105</v>
      </c>
      <c r="I38" s="429" t="s">
        <v>105</v>
      </c>
      <c r="J38" s="464" t="s">
        <v>105</v>
      </c>
      <c r="K38" s="465" t="s">
        <v>105</v>
      </c>
      <c r="L38" s="465" t="s">
        <v>105</v>
      </c>
      <c r="M38" s="465" t="s">
        <v>105</v>
      </c>
      <c r="N38" s="466" t="s">
        <v>105</v>
      </c>
      <c r="O38" s="467" t="s">
        <v>105</v>
      </c>
      <c r="P38" s="468">
        <f t="shared" si="0"/>
        <v>2137</v>
      </c>
    </row>
    <row r="39" spans="1:16" ht="15" customHeight="1">
      <c r="A39" s="389" t="s">
        <v>146</v>
      </c>
      <c r="B39" s="474" t="s">
        <v>105</v>
      </c>
      <c r="C39" s="458">
        <f>'10'!$C$13</f>
        <v>10</v>
      </c>
      <c r="D39" s="459" t="s">
        <v>105</v>
      </c>
      <c r="E39" s="460" t="s">
        <v>105</v>
      </c>
      <c r="F39" s="461" t="s">
        <v>105</v>
      </c>
      <c r="G39" s="462" t="s">
        <v>105</v>
      </c>
      <c r="H39" s="463" t="s">
        <v>105</v>
      </c>
      <c r="I39" s="429" t="s">
        <v>105</v>
      </c>
      <c r="J39" s="464" t="s">
        <v>105</v>
      </c>
      <c r="K39" s="465" t="s">
        <v>105</v>
      </c>
      <c r="L39" s="465" t="s">
        <v>105</v>
      </c>
      <c r="M39" s="465" t="s">
        <v>105</v>
      </c>
      <c r="N39" s="466">
        <f>'33'!$L$9</f>
        <v>56</v>
      </c>
      <c r="O39" s="467" t="s">
        <v>105</v>
      </c>
      <c r="P39" s="468">
        <f t="shared" si="0"/>
        <v>66</v>
      </c>
    </row>
    <row r="40" spans="1:16" ht="15" customHeight="1">
      <c r="A40" s="389" t="s">
        <v>124</v>
      </c>
      <c r="B40" s="474">
        <f>'10'!$B$26</f>
        <v>14976</v>
      </c>
      <c r="C40" s="458">
        <f>'10'!$C$26</f>
        <v>2887</v>
      </c>
      <c r="D40" s="459" t="s">
        <v>105</v>
      </c>
      <c r="E40" s="460" t="s">
        <v>105</v>
      </c>
      <c r="F40" s="461" t="s">
        <v>105</v>
      </c>
      <c r="G40" s="462" t="s">
        <v>105</v>
      </c>
      <c r="H40" s="463" t="s">
        <v>105</v>
      </c>
      <c r="I40" s="429" t="s">
        <v>105</v>
      </c>
      <c r="J40" s="464" t="s">
        <v>105</v>
      </c>
      <c r="K40" s="465" t="s">
        <v>105</v>
      </c>
      <c r="L40" s="465" t="s">
        <v>105</v>
      </c>
      <c r="M40" s="465" t="s">
        <v>105</v>
      </c>
      <c r="N40" s="466">
        <f>'33'!$L$17</f>
        <v>52</v>
      </c>
      <c r="O40" s="467" t="s">
        <v>105</v>
      </c>
      <c r="P40" s="468">
        <f t="shared" si="0"/>
        <v>17915</v>
      </c>
    </row>
    <row r="41" spans="1:16" ht="15" customHeight="1">
      <c r="A41" s="388" t="s">
        <v>155</v>
      </c>
      <c r="B41" s="474" t="s">
        <v>105</v>
      </c>
      <c r="C41" s="458">
        <f>'10'!$C$23</f>
        <v>5</v>
      </c>
      <c r="D41" s="459" t="s">
        <v>105</v>
      </c>
      <c r="E41" s="460" t="s">
        <v>105</v>
      </c>
      <c r="F41" s="461" t="s">
        <v>105</v>
      </c>
      <c r="G41" s="462" t="s">
        <v>105</v>
      </c>
      <c r="H41" s="463" t="s">
        <v>105</v>
      </c>
      <c r="I41" s="429" t="s">
        <v>105</v>
      </c>
      <c r="J41" s="464" t="s">
        <v>105</v>
      </c>
      <c r="K41" s="465" t="s">
        <v>105</v>
      </c>
      <c r="L41" s="465" t="s">
        <v>105</v>
      </c>
      <c r="M41" s="465" t="s">
        <v>105</v>
      </c>
      <c r="N41" s="466" t="s">
        <v>105</v>
      </c>
      <c r="O41" s="467" t="s">
        <v>105</v>
      </c>
      <c r="P41" s="468">
        <f t="shared" si="0"/>
        <v>5</v>
      </c>
    </row>
    <row r="42" spans="1:16" ht="15" customHeight="1">
      <c r="A42" s="395" t="s">
        <v>126</v>
      </c>
      <c r="B42" s="474">
        <f>'10'!$B$9</f>
        <v>577</v>
      </c>
      <c r="C42" s="458">
        <f>'10'!$C$9</f>
        <v>51</v>
      </c>
      <c r="D42" s="459" t="s">
        <v>105</v>
      </c>
      <c r="E42" s="460" t="s">
        <v>105</v>
      </c>
      <c r="F42" s="461" t="s">
        <v>105</v>
      </c>
      <c r="G42" s="462" t="s">
        <v>105</v>
      </c>
      <c r="H42" s="463" t="s">
        <v>105</v>
      </c>
      <c r="I42" s="429" t="s">
        <v>105</v>
      </c>
      <c r="J42" s="464" t="s">
        <v>105</v>
      </c>
      <c r="K42" s="465" t="s">
        <v>105</v>
      </c>
      <c r="L42" s="465" t="s">
        <v>105</v>
      </c>
      <c r="M42" s="465" t="s">
        <v>105</v>
      </c>
      <c r="N42" s="466" t="s">
        <v>105</v>
      </c>
      <c r="O42" s="467" t="s">
        <v>105</v>
      </c>
      <c r="P42" s="468">
        <f t="shared" si="0"/>
        <v>628</v>
      </c>
    </row>
    <row r="43" spans="1:16" ht="15" customHeight="1">
      <c r="A43" s="389" t="s">
        <v>109</v>
      </c>
      <c r="B43" s="474">
        <f>'10'!$B$42</f>
        <v>2093</v>
      </c>
      <c r="C43" s="458">
        <f>'10'!$C$42</f>
        <v>64</v>
      </c>
      <c r="D43" s="459" t="s">
        <v>105</v>
      </c>
      <c r="E43" s="460" t="s">
        <v>105</v>
      </c>
      <c r="F43" s="461" t="s">
        <v>105</v>
      </c>
      <c r="G43" s="462" t="s">
        <v>105</v>
      </c>
      <c r="H43" s="463" t="s">
        <v>105</v>
      </c>
      <c r="I43" s="429" t="s">
        <v>105</v>
      </c>
      <c r="J43" s="464" t="s">
        <v>105</v>
      </c>
      <c r="K43" s="465" t="s">
        <v>105</v>
      </c>
      <c r="L43" s="465" t="s">
        <v>105</v>
      </c>
      <c r="M43" s="465" t="s">
        <v>105</v>
      </c>
      <c r="N43" s="411">
        <f>'33'!$L$26</f>
        <v>1968</v>
      </c>
      <c r="O43" s="467" t="s">
        <v>105</v>
      </c>
      <c r="P43" s="468">
        <f t="shared" si="0"/>
        <v>4125</v>
      </c>
    </row>
    <row r="44" spans="1:16" ht="15" customHeight="1">
      <c r="A44" s="395" t="s">
        <v>140</v>
      </c>
      <c r="B44" s="474">
        <f>'10'!$B$19</f>
        <v>2950</v>
      </c>
      <c r="C44" s="458">
        <f>'10'!$C$7+'10'!$C19</f>
        <v>1984</v>
      </c>
      <c r="D44" s="459">
        <f>'33'!$B$12</f>
        <v>3053</v>
      </c>
      <c r="E44" s="460">
        <f>'33'!$C$12</f>
        <v>138</v>
      </c>
      <c r="F44" s="461" t="s">
        <v>105</v>
      </c>
      <c r="G44" s="462" t="s">
        <v>105</v>
      </c>
      <c r="H44" s="463">
        <f>'33'!$F$12</f>
        <v>775</v>
      </c>
      <c r="I44" s="429" t="s">
        <v>105</v>
      </c>
      <c r="J44" s="464">
        <f>'33'!$H$12</f>
        <v>141</v>
      </c>
      <c r="K44" s="465" t="s">
        <v>105</v>
      </c>
      <c r="L44" s="465" t="s">
        <v>105</v>
      </c>
      <c r="M44" s="465" t="s">
        <v>105</v>
      </c>
      <c r="N44" s="466">
        <f>'33'!$L$12</f>
        <v>357</v>
      </c>
      <c r="O44" s="467" t="s">
        <v>105</v>
      </c>
      <c r="P44" s="468">
        <f t="shared" si="0"/>
        <v>9398</v>
      </c>
    </row>
    <row r="45" spans="1:16" ht="15" customHeight="1">
      <c r="A45" s="393" t="s">
        <v>110</v>
      </c>
      <c r="B45" s="474">
        <f>'10'!$B$28</f>
        <v>745</v>
      </c>
      <c r="C45" s="458">
        <f>'10'!$C$28</f>
        <v>593</v>
      </c>
      <c r="D45" s="459" t="s">
        <v>105</v>
      </c>
      <c r="E45" s="460" t="s">
        <v>105</v>
      </c>
      <c r="F45" s="461" t="s">
        <v>105</v>
      </c>
      <c r="G45" s="462" t="s">
        <v>105</v>
      </c>
      <c r="H45" s="463" t="s">
        <v>105</v>
      </c>
      <c r="I45" s="429" t="s">
        <v>105</v>
      </c>
      <c r="J45" s="464" t="s">
        <v>105</v>
      </c>
      <c r="K45" s="465" t="s">
        <v>105</v>
      </c>
      <c r="L45" s="465" t="s">
        <v>105</v>
      </c>
      <c r="M45" s="465" t="s">
        <v>105</v>
      </c>
      <c r="N45" s="466">
        <f>'33'!$L$19</f>
        <v>100</v>
      </c>
      <c r="O45" s="467" t="s">
        <v>105</v>
      </c>
      <c r="P45" s="468">
        <f t="shared" si="0"/>
        <v>1438</v>
      </c>
    </row>
    <row r="46" spans="1:16" ht="15" customHeight="1">
      <c r="A46" s="393" t="s">
        <v>185</v>
      </c>
      <c r="B46" s="474" t="s">
        <v>105</v>
      </c>
      <c r="C46" s="458" t="s">
        <v>105</v>
      </c>
      <c r="D46" s="459" t="s">
        <v>105</v>
      </c>
      <c r="E46" s="460" t="s">
        <v>105</v>
      </c>
      <c r="F46" s="461" t="s">
        <v>105</v>
      </c>
      <c r="G46" s="462" t="s">
        <v>105</v>
      </c>
      <c r="H46" s="463" t="s">
        <v>105</v>
      </c>
      <c r="I46" s="429" t="s">
        <v>105</v>
      </c>
      <c r="J46" s="464" t="s">
        <v>105</v>
      </c>
      <c r="K46" s="465" t="s">
        <v>105</v>
      </c>
      <c r="L46" s="465" t="s">
        <v>105</v>
      </c>
      <c r="M46" s="465" t="s">
        <v>105</v>
      </c>
      <c r="N46" s="466" t="s">
        <v>105</v>
      </c>
      <c r="O46" s="467" t="s">
        <v>105</v>
      </c>
      <c r="P46" s="468">
        <f t="shared" si="0"/>
        <v>0</v>
      </c>
    </row>
    <row r="47" spans="1:16" ht="15" customHeight="1">
      <c r="A47" s="395" t="s">
        <v>152</v>
      </c>
      <c r="B47" s="474">
        <f>'10'!$B$12</f>
        <v>5056</v>
      </c>
      <c r="C47" s="458" t="s">
        <v>105</v>
      </c>
      <c r="D47" s="459">
        <f>'33'!$B$8</f>
        <v>196</v>
      </c>
      <c r="E47" s="460">
        <f>'33'!$C$8</f>
        <v>44</v>
      </c>
      <c r="F47" s="461" t="s">
        <v>105</v>
      </c>
      <c r="G47" s="462" t="s">
        <v>105</v>
      </c>
      <c r="H47" s="463" t="s">
        <v>105</v>
      </c>
      <c r="I47" s="429" t="s">
        <v>105</v>
      </c>
      <c r="J47" s="464" t="s">
        <v>105</v>
      </c>
      <c r="K47" s="465" t="s">
        <v>105</v>
      </c>
      <c r="L47" s="465" t="s">
        <v>105</v>
      </c>
      <c r="M47" s="465" t="s">
        <v>105</v>
      </c>
      <c r="N47" s="466" t="s">
        <v>105</v>
      </c>
      <c r="O47" s="467">
        <f>'10'!$E$12</f>
        <v>1745</v>
      </c>
      <c r="P47" s="468">
        <f t="shared" si="0"/>
        <v>7041</v>
      </c>
    </row>
    <row r="48" spans="1:16" ht="15" customHeight="1">
      <c r="A48" s="395" t="s">
        <v>127</v>
      </c>
      <c r="B48" s="474" t="s">
        <v>105</v>
      </c>
      <c r="C48" s="458">
        <f>'10'!$C$17+'10'!$C31</f>
        <v>1799</v>
      </c>
      <c r="D48" s="459" t="s">
        <v>105</v>
      </c>
      <c r="E48" s="460" t="s">
        <v>105</v>
      </c>
      <c r="F48" s="461" t="s">
        <v>105</v>
      </c>
      <c r="G48" s="462" t="s">
        <v>105</v>
      </c>
      <c r="H48" s="463" t="s">
        <v>105</v>
      </c>
      <c r="I48" s="429" t="s">
        <v>105</v>
      </c>
      <c r="J48" s="464" t="s">
        <v>105</v>
      </c>
      <c r="K48" s="465" t="s">
        <v>105</v>
      </c>
      <c r="L48" s="465" t="s">
        <v>105</v>
      </c>
      <c r="M48" s="465" t="s">
        <v>105</v>
      </c>
      <c r="N48" s="466">
        <f>'33'!$L$20</f>
        <v>94</v>
      </c>
      <c r="O48" s="467" t="s">
        <v>105</v>
      </c>
      <c r="P48" s="468">
        <f t="shared" si="0"/>
        <v>1893</v>
      </c>
    </row>
    <row r="49" spans="1:16" ht="15" customHeight="1">
      <c r="A49" s="392" t="s">
        <v>111</v>
      </c>
      <c r="B49" s="474">
        <f>'10'!$B$54</f>
        <v>778</v>
      </c>
      <c r="C49" s="458" t="s">
        <v>105</v>
      </c>
      <c r="D49" s="459">
        <f>'33'!$B$34</f>
        <v>75</v>
      </c>
      <c r="E49" s="460" t="s">
        <v>105</v>
      </c>
      <c r="F49" s="461" t="s">
        <v>105</v>
      </c>
      <c r="G49" s="462" t="s">
        <v>105</v>
      </c>
      <c r="H49" s="463">
        <f>'33'!$F$34</f>
        <v>168</v>
      </c>
      <c r="I49" s="429">
        <f>'33'!$G$34</f>
        <v>2</v>
      </c>
      <c r="J49" s="464">
        <f>'33'!$H$34</f>
        <v>835</v>
      </c>
      <c r="K49" s="465" t="s">
        <v>105</v>
      </c>
      <c r="L49" s="465" t="s">
        <v>105</v>
      </c>
      <c r="M49" s="465" t="s">
        <v>105</v>
      </c>
      <c r="N49" s="466">
        <f>'33'!$L$34</f>
        <v>36</v>
      </c>
      <c r="O49" s="467" t="s">
        <v>105</v>
      </c>
      <c r="P49" s="468">
        <f t="shared" si="0"/>
        <v>1894</v>
      </c>
    </row>
    <row r="50" spans="1:16" ht="15" customHeight="1">
      <c r="A50" s="393" t="s">
        <v>113</v>
      </c>
      <c r="B50" s="474">
        <f>'10'!$B$51</f>
        <v>994</v>
      </c>
      <c r="C50" s="458">
        <f>'10'!$C$51</f>
        <v>275</v>
      </c>
      <c r="D50" s="459" t="s">
        <v>105</v>
      </c>
      <c r="E50" s="460" t="s">
        <v>105</v>
      </c>
      <c r="F50" s="461" t="s">
        <v>105</v>
      </c>
      <c r="G50" s="462" t="s">
        <v>105</v>
      </c>
      <c r="H50" s="463" t="s">
        <v>105</v>
      </c>
      <c r="I50" s="429" t="s">
        <v>105</v>
      </c>
      <c r="J50" s="464" t="s">
        <v>105</v>
      </c>
      <c r="K50" s="465" t="s">
        <v>105</v>
      </c>
      <c r="L50" s="465" t="s">
        <v>105</v>
      </c>
      <c r="M50" s="465" t="s">
        <v>105</v>
      </c>
      <c r="N50" s="466" t="s">
        <v>105</v>
      </c>
      <c r="O50" s="467" t="s">
        <v>105</v>
      </c>
      <c r="P50" s="468">
        <f t="shared" si="0"/>
        <v>1269</v>
      </c>
    </row>
    <row r="51" spans="1:16" ht="15" customHeight="1">
      <c r="A51" s="392" t="s">
        <v>116</v>
      </c>
      <c r="B51" s="474">
        <f>'10'!$B$56</f>
        <v>640</v>
      </c>
      <c r="C51" s="458" t="s">
        <v>105</v>
      </c>
      <c r="D51" s="459">
        <f>'33'!$B$35</f>
        <v>147</v>
      </c>
      <c r="E51" s="460">
        <f>'33'!$C$35</f>
        <v>1635</v>
      </c>
      <c r="F51" s="461" t="s">
        <v>105</v>
      </c>
      <c r="G51" s="462" t="s">
        <v>105</v>
      </c>
      <c r="H51" s="463" t="s">
        <v>105</v>
      </c>
      <c r="I51" s="429" t="s">
        <v>105</v>
      </c>
      <c r="J51" s="464" t="s">
        <v>105</v>
      </c>
      <c r="K51" s="465" t="s">
        <v>105</v>
      </c>
      <c r="L51" s="465" t="s">
        <v>105</v>
      </c>
      <c r="M51" s="465" t="s">
        <v>105</v>
      </c>
      <c r="N51" s="466" t="s">
        <v>105</v>
      </c>
      <c r="O51" s="467" t="s">
        <v>105</v>
      </c>
      <c r="P51" s="468">
        <f t="shared" si="0"/>
        <v>2422</v>
      </c>
    </row>
    <row r="52" spans="1:16" ht="15" customHeight="1">
      <c r="A52" s="395" t="s">
        <v>128</v>
      </c>
      <c r="B52" s="474" t="s">
        <v>105</v>
      </c>
      <c r="C52" s="458">
        <f>'10'!$C$36</f>
        <v>4027</v>
      </c>
      <c r="D52" s="459" t="s">
        <v>105</v>
      </c>
      <c r="E52" s="460" t="s">
        <v>105</v>
      </c>
      <c r="F52" s="461" t="s">
        <v>105</v>
      </c>
      <c r="G52" s="462" t="s">
        <v>105</v>
      </c>
      <c r="H52" s="463" t="s">
        <v>105</v>
      </c>
      <c r="I52" s="429" t="s">
        <v>105</v>
      </c>
      <c r="J52" s="464" t="s">
        <v>105</v>
      </c>
      <c r="K52" s="465" t="s">
        <v>105</v>
      </c>
      <c r="L52" s="465" t="s">
        <v>105</v>
      </c>
      <c r="M52" s="465" t="s">
        <v>105</v>
      </c>
      <c r="N52" s="466" t="s">
        <v>105</v>
      </c>
      <c r="O52" s="467" t="s">
        <v>105</v>
      </c>
      <c r="P52" s="468">
        <f t="shared" si="0"/>
        <v>4027</v>
      </c>
    </row>
    <row r="53" spans="1:16" ht="15" customHeight="1">
      <c r="A53" s="389" t="s">
        <v>143</v>
      </c>
      <c r="B53" s="474" t="s">
        <v>105</v>
      </c>
      <c r="C53" s="458" t="s">
        <v>105</v>
      </c>
      <c r="D53" s="459">
        <f>'33'!$B$10</f>
        <v>17364</v>
      </c>
      <c r="E53" s="460">
        <f>'33'!$C$10</f>
        <v>28301</v>
      </c>
      <c r="F53" s="461">
        <f>'33'!$D$10</f>
        <v>8480</v>
      </c>
      <c r="G53" s="462">
        <f>'33'!$E$10</f>
        <v>3078</v>
      </c>
      <c r="H53" s="463" t="s">
        <v>105</v>
      </c>
      <c r="I53" s="429" t="s">
        <v>105</v>
      </c>
      <c r="J53" s="464">
        <f>'33'!$H$10</f>
        <v>1342</v>
      </c>
      <c r="K53" s="465">
        <f>'33'!$I$10</f>
        <v>857</v>
      </c>
      <c r="L53" s="465">
        <f>'33'!$J$10</f>
        <v>25041</v>
      </c>
      <c r="M53" s="465">
        <f>'33'!$K$10</f>
        <v>3841</v>
      </c>
      <c r="N53" s="466">
        <f>'33'!$L$10</f>
        <v>283</v>
      </c>
      <c r="O53" s="467">
        <f>'10'!$E$15</f>
        <v>27874</v>
      </c>
      <c r="P53" s="412">
        <f t="shared" si="0"/>
        <v>116461</v>
      </c>
    </row>
    <row r="54" spans="1:16" ht="15" customHeight="1">
      <c r="A54" s="393" t="s">
        <v>132</v>
      </c>
      <c r="B54" s="474" t="s">
        <v>105</v>
      </c>
      <c r="C54" s="458" t="s">
        <v>105</v>
      </c>
      <c r="D54" s="459" t="s">
        <v>105</v>
      </c>
      <c r="E54" s="460" t="s">
        <v>105</v>
      </c>
      <c r="F54" s="461" t="s">
        <v>105</v>
      </c>
      <c r="G54" s="462" t="s">
        <v>105</v>
      </c>
      <c r="H54" s="463" t="s">
        <v>105</v>
      </c>
      <c r="I54" s="429" t="s">
        <v>105</v>
      </c>
      <c r="J54" s="464" t="s">
        <v>105</v>
      </c>
      <c r="K54" s="465" t="s">
        <v>105</v>
      </c>
      <c r="L54" s="465" t="s">
        <v>105</v>
      </c>
      <c r="M54" s="465" t="s">
        <v>105</v>
      </c>
      <c r="N54" s="466" t="s">
        <v>105</v>
      </c>
      <c r="O54" s="467" t="s">
        <v>105</v>
      </c>
      <c r="P54" s="468">
        <f t="shared" si="0"/>
        <v>0</v>
      </c>
    </row>
    <row r="55" spans="1:16" ht="15" customHeight="1">
      <c r="A55" s="396" t="s">
        <v>108</v>
      </c>
      <c r="B55" s="475">
        <f>'10'!$B$32</f>
        <v>699</v>
      </c>
      <c r="C55" s="476" t="s">
        <v>105</v>
      </c>
      <c r="D55" s="459" t="s">
        <v>105</v>
      </c>
      <c r="E55" s="460" t="s">
        <v>105</v>
      </c>
      <c r="F55" s="461" t="s">
        <v>105</v>
      </c>
      <c r="G55" s="462" t="s">
        <v>105</v>
      </c>
      <c r="H55" s="463" t="s">
        <v>105</v>
      </c>
      <c r="I55" s="429" t="s">
        <v>105</v>
      </c>
      <c r="J55" s="464" t="s">
        <v>105</v>
      </c>
      <c r="K55" s="465" t="s">
        <v>105</v>
      </c>
      <c r="L55" s="465" t="s">
        <v>105</v>
      </c>
      <c r="M55" s="465" t="s">
        <v>105</v>
      </c>
      <c r="N55" s="466" t="s">
        <v>105</v>
      </c>
      <c r="O55" s="467" t="s">
        <v>105</v>
      </c>
      <c r="P55" s="477">
        <f t="shared" si="0"/>
        <v>699</v>
      </c>
    </row>
    <row r="56" spans="1:16" ht="15" customHeight="1" thickBot="1">
      <c r="A56" s="413" t="s">
        <v>26</v>
      </c>
      <c r="B56" s="478">
        <f>'10'!$B$59</f>
        <v>4520</v>
      </c>
      <c r="C56" s="479">
        <f>+C59</f>
        <v>22000</v>
      </c>
      <c r="D56" s="480">
        <f>'33'!$B$37</f>
        <v>1825</v>
      </c>
      <c r="E56" s="481">
        <f>'33'!$C$37</f>
        <v>2545</v>
      </c>
      <c r="F56" s="482">
        <f>'33'!$D$37</f>
        <v>10</v>
      </c>
      <c r="G56" s="483" t="s">
        <v>105</v>
      </c>
      <c r="H56" s="484">
        <f>'33'!$F$37</f>
        <v>173</v>
      </c>
      <c r="I56" s="430">
        <f>'33'!$G$37</f>
        <v>12</v>
      </c>
      <c r="J56" s="485">
        <f>'33'!$H$37</f>
        <v>137</v>
      </c>
      <c r="K56" s="486">
        <f>'33'!$I$37</f>
        <v>91</v>
      </c>
      <c r="L56" s="486">
        <f>'33'!$J$37</f>
        <v>2365</v>
      </c>
      <c r="M56" s="486" t="s">
        <v>105</v>
      </c>
      <c r="N56" s="487">
        <f>+N59</f>
        <v>173</v>
      </c>
      <c r="O56" s="488">
        <f>'10'!$E$59</f>
        <v>2950</v>
      </c>
      <c r="P56" s="477">
        <f t="shared" si="0"/>
        <v>36801</v>
      </c>
    </row>
    <row r="57" spans="1:16" ht="15" customHeight="1" thickBot="1" thickTop="1">
      <c r="A57" s="414"/>
      <c r="B57" s="415">
        <f aca="true" t="shared" si="1" ref="B57:O57">SUM(B9:B56)</f>
        <v>56721</v>
      </c>
      <c r="C57" s="416">
        <f t="shared" si="1"/>
        <v>50732</v>
      </c>
      <c r="D57" s="417">
        <f t="shared" si="1"/>
        <v>39857</v>
      </c>
      <c r="E57" s="418">
        <f t="shared" si="1"/>
        <v>53909</v>
      </c>
      <c r="F57" s="491">
        <f t="shared" si="1"/>
        <v>9619</v>
      </c>
      <c r="G57" s="419">
        <f t="shared" si="1"/>
        <v>5292</v>
      </c>
      <c r="H57" s="420">
        <f t="shared" si="1"/>
        <v>3534</v>
      </c>
      <c r="I57" s="421">
        <f t="shared" si="1"/>
        <v>152</v>
      </c>
      <c r="J57" s="422">
        <f t="shared" si="1"/>
        <v>3037</v>
      </c>
      <c r="K57" s="423">
        <f t="shared" si="1"/>
        <v>1992</v>
      </c>
      <c r="L57" s="423">
        <f t="shared" si="1"/>
        <v>30571</v>
      </c>
      <c r="M57" s="423">
        <f t="shared" si="1"/>
        <v>4045</v>
      </c>
      <c r="N57" s="492">
        <f t="shared" si="1"/>
        <v>6289</v>
      </c>
      <c r="O57" s="490">
        <f t="shared" si="1"/>
        <v>83803</v>
      </c>
      <c r="P57" s="489">
        <f>SUM(B57:O57)</f>
        <v>349553</v>
      </c>
    </row>
    <row r="58" ht="13.5" thickTop="1">
      <c r="N58" s="384">
        <f>'33'!$L$38</f>
        <v>6289</v>
      </c>
    </row>
    <row r="59" spans="1:18" s="7" customFormat="1" ht="12.75">
      <c r="A59" s="494"/>
      <c r="B59" s="495"/>
      <c r="C59" s="425">
        <f>SUM(C60:C77)</f>
        <v>22000</v>
      </c>
      <c r="D59" s="424">
        <f>'33'!$B$38</f>
        <v>39857</v>
      </c>
      <c r="E59" s="424">
        <f>'33'!$C$38</f>
        <v>53909</v>
      </c>
      <c r="F59" s="424">
        <f>'33'!$D$38</f>
        <v>9619</v>
      </c>
      <c r="G59" s="424">
        <f>'33'!$E$38</f>
        <v>5292</v>
      </c>
      <c r="H59" s="424">
        <f>'33'!$F$38</f>
        <v>3534</v>
      </c>
      <c r="I59" s="424">
        <f>'33'!$G$38</f>
        <v>152</v>
      </c>
      <c r="J59" s="424">
        <f>'33'!$H$38</f>
        <v>3037</v>
      </c>
      <c r="K59" s="424">
        <f>'33'!$I$38</f>
        <v>1992</v>
      </c>
      <c r="L59" s="424">
        <f>'33'!$J$38</f>
        <v>30571</v>
      </c>
      <c r="M59" s="424">
        <f>'33'!$K$38</f>
        <v>4045</v>
      </c>
      <c r="N59" s="424">
        <f>SUM(N60:N77)</f>
        <v>173</v>
      </c>
      <c r="O59" s="426">
        <f>'10'!$E$60</f>
        <v>83803</v>
      </c>
      <c r="P59" s="427"/>
      <c r="R59" s="493">
        <f>+P59-P57</f>
        <v>-349553</v>
      </c>
    </row>
    <row r="60" spans="3:4" ht="12.75">
      <c r="C60" s="384">
        <f>'10'!$C$10</f>
        <v>7935</v>
      </c>
      <c r="D60" s="496"/>
    </row>
    <row r="61" spans="3:15" ht="12.75">
      <c r="C61" s="384"/>
      <c r="D61" s="384"/>
      <c r="O61" s="428"/>
    </row>
    <row r="62" ht="12.75">
      <c r="C62" s="384"/>
    </row>
    <row r="63" spans="3:6" ht="12.75">
      <c r="C63" s="384">
        <f>'10'!$C$20</f>
        <v>1481</v>
      </c>
      <c r="F63" s="399"/>
    </row>
    <row r="64" ht="12.75">
      <c r="C64" s="384">
        <f>'10'!$C$22</f>
        <v>333</v>
      </c>
    </row>
    <row r="66" spans="4:6" ht="12.75">
      <c r="D66" s="384"/>
      <c r="F66" s="399"/>
    </row>
    <row r="72" ht="12.75">
      <c r="C72" s="384">
        <f>'10'!$C$44</f>
        <v>138</v>
      </c>
    </row>
    <row r="73" spans="3:14" ht="12.75">
      <c r="C73" s="384"/>
      <c r="N73" s="16">
        <f>'33'!L28</f>
        <v>32</v>
      </c>
    </row>
    <row r="74" spans="3:14" ht="12.75">
      <c r="C74" s="384"/>
      <c r="N74" s="16">
        <f>'33'!L29</f>
        <v>39</v>
      </c>
    </row>
    <row r="76" ht="12.75">
      <c r="C76" s="384">
        <f>'10'!$C$57</f>
        <v>2375</v>
      </c>
    </row>
    <row r="77" spans="3:14" ht="12.75">
      <c r="C77" s="384">
        <f>'10'!$C$59</f>
        <v>9738</v>
      </c>
      <c r="N77" s="16">
        <f>'33'!$L$37</f>
        <v>102</v>
      </c>
    </row>
  </sheetData>
  <sheetProtection/>
  <mergeCells count="7">
    <mergeCell ref="A4:P4"/>
    <mergeCell ref="A5:P5"/>
    <mergeCell ref="B7:C7"/>
    <mergeCell ref="D7:G7"/>
    <mergeCell ref="J7:N7"/>
    <mergeCell ref="H7:I7"/>
    <mergeCell ref="O7:O8"/>
  </mergeCells>
  <printOptions/>
  <pageMargins left="0.984251968503937" right="0" top="0.3937007874015748" bottom="0.3937007874015748" header="0.5118110236220472" footer="0.1968503937007874"/>
  <pageSetup fitToHeight="1" fitToWidth="1" horizontalDpi="300" verticalDpi="300" orientation="portrait" paperSize="9" scale="79" r:id="rId2"/>
  <headerFooter alignWithMargins="0">
    <oddFooter>&amp;C[ 8 ]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Y60"/>
  <sheetViews>
    <sheetView zoomScale="120" zoomScaleNormal="120" zoomScalePageLayoutView="0" workbookViewId="0" topLeftCell="A1">
      <selection activeCell="A1" sqref="A1"/>
      <selection activeCell="A1" sqref="A1:R1"/>
    </sheetView>
  </sheetViews>
  <sheetFormatPr defaultColWidth="9.140625" defaultRowHeight="12.75"/>
  <cols>
    <col min="1" max="1" width="3.7109375" style="665" customWidth="1"/>
    <col min="2" max="2" width="2.00390625" style="665" hidden="1" customWidth="1"/>
    <col min="3" max="3" width="8.57421875" style="665" customWidth="1"/>
    <col min="4" max="17" width="6.7109375" style="665" customWidth="1"/>
    <col min="18" max="18" width="7.421875" style="665" customWidth="1"/>
    <col min="19" max="19" width="9.140625" style="572" customWidth="1"/>
    <col min="20" max="16384" width="9.140625" style="573" customWidth="1"/>
  </cols>
  <sheetData>
    <row r="1" spans="1:18" ht="18">
      <c r="A1" s="1155">
        <v>16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5"/>
      <c r="R1" s="1155"/>
    </row>
    <row r="2" spans="1:18" ht="15">
      <c r="A2" s="574" t="s">
        <v>204</v>
      </c>
      <c r="B2" s="575"/>
      <c r="C2" s="575"/>
      <c r="D2" s="576"/>
      <c r="E2" s="576"/>
      <c r="F2" s="576"/>
      <c r="G2" s="576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76"/>
    </row>
    <row r="3" spans="1:18" ht="19.5" customHeight="1">
      <c r="A3" s="574"/>
      <c r="B3" s="575"/>
      <c r="C3" s="575"/>
      <c r="D3" s="576"/>
      <c r="E3" s="576"/>
      <c r="F3" s="576"/>
      <c r="G3" s="576"/>
      <c r="H3" s="576"/>
      <c r="I3" s="576"/>
      <c r="J3" s="576"/>
      <c r="K3" s="576"/>
      <c r="L3" s="576"/>
      <c r="M3" s="576"/>
      <c r="N3" s="576"/>
      <c r="O3" s="576"/>
      <c r="P3" s="576"/>
      <c r="Q3" s="576"/>
      <c r="R3" s="576"/>
    </row>
    <row r="4" spans="1:18" ht="26.25" customHeight="1">
      <c r="A4" s="573"/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73"/>
      <c r="R4" s="573"/>
    </row>
    <row r="5" spans="1:25" ht="19.5" customHeight="1">
      <c r="A5" s="1156" t="s">
        <v>238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  <c r="M5" s="1156"/>
      <c r="N5" s="1156"/>
      <c r="O5" s="1156"/>
      <c r="P5" s="1156"/>
      <c r="Q5" s="1156"/>
      <c r="R5" s="1156"/>
      <c r="S5" s="577"/>
      <c r="T5" s="578"/>
      <c r="U5" s="578"/>
      <c r="V5" s="578"/>
      <c r="W5" s="578"/>
      <c r="X5" s="578"/>
      <c r="Y5" s="578"/>
    </row>
    <row r="6" spans="1:25" ht="16.5" customHeight="1">
      <c r="A6" s="1157" t="s">
        <v>239</v>
      </c>
      <c r="B6" s="1157"/>
      <c r="C6" s="1157"/>
      <c r="D6" s="1157"/>
      <c r="E6" s="1157"/>
      <c r="F6" s="1157"/>
      <c r="G6" s="1157"/>
      <c r="H6" s="1157"/>
      <c r="I6" s="1157"/>
      <c r="J6" s="1157"/>
      <c r="K6" s="1157"/>
      <c r="L6" s="1157"/>
      <c r="M6" s="1157"/>
      <c r="N6" s="1157"/>
      <c r="O6" s="1157"/>
      <c r="P6" s="1157"/>
      <c r="Q6" s="1157"/>
      <c r="R6" s="1157"/>
      <c r="S6" s="577"/>
      <c r="T6" s="578"/>
      <c r="U6" s="578"/>
      <c r="V6" s="578"/>
      <c r="W6" s="578"/>
      <c r="X6" s="578"/>
      <c r="Y6" s="578"/>
    </row>
    <row r="7" spans="1:25" ht="6.75" customHeight="1">
      <c r="A7" s="579"/>
      <c r="B7" s="579"/>
      <c r="C7" s="579"/>
      <c r="D7" s="579"/>
      <c r="E7" s="579"/>
      <c r="F7" s="579"/>
      <c r="G7" s="579"/>
      <c r="H7" s="579"/>
      <c r="I7" s="579"/>
      <c r="J7" s="579"/>
      <c r="K7" s="579"/>
      <c r="L7" s="579"/>
      <c r="M7" s="579"/>
      <c r="N7" s="579"/>
      <c r="O7" s="579"/>
      <c r="P7" s="579"/>
      <c r="Q7" s="579"/>
      <c r="R7" s="579"/>
      <c r="S7" s="577"/>
      <c r="T7" s="578"/>
      <c r="U7" s="578"/>
      <c r="V7" s="578"/>
      <c r="W7" s="578"/>
      <c r="X7" s="578"/>
      <c r="Y7" s="578"/>
    </row>
    <row r="8" spans="1:25" ht="16.5" customHeight="1" thickBot="1">
      <c r="A8" s="580"/>
      <c r="B8" s="580"/>
      <c r="C8" s="580"/>
      <c r="D8" s="580"/>
      <c r="E8" s="580"/>
      <c r="F8" s="580"/>
      <c r="G8" s="580"/>
      <c r="H8" s="580"/>
      <c r="I8" s="580"/>
      <c r="J8" s="580"/>
      <c r="K8" s="580"/>
      <c r="L8" s="580"/>
      <c r="M8" s="580"/>
      <c r="N8" s="580"/>
      <c r="O8" s="580"/>
      <c r="P8" s="1158" t="s">
        <v>240</v>
      </c>
      <c r="Q8" s="1158"/>
      <c r="R8" s="1158"/>
      <c r="S8" s="577"/>
      <c r="T8" s="578"/>
      <c r="U8" s="578"/>
      <c r="V8" s="578"/>
      <c r="W8" s="578"/>
      <c r="X8" s="578"/>
      <c r="Y8" s="578"/>
    </row>
    <row r="9" spans="1:18" ht="24.75" customHeight="1" thickTop="1">
      <c r="A9" s="1133" t="s">
        <v>241</v>
      </c>
      <c r="B9" s="1134"/>
      <c r="C9" s="1159" t="s">
        <v>242</v>
      </c>
      <c r="D9" s="1161" t="s">
        <v>243</v>
      </c>
      <c r="E9" s="1159"/>
      <c r="F9" s="1161" t="s">
        <v>244</v>
      </c>
      <c r="G9" s="1162"/>
      <c r="H9" s="1162"/>
      <c r="I9" s="1159"/>
      <c r="J9" s="1163" t="s">
        <v>245</v>
      </c>
      <c r="K9" s="1164"/>
      <c r="L9" s="1161" t="s">
        <v>246</v>
      </c>
      <c r="M9" s="1162"/>
      <c r="N9" s="1162"/>
      <c r="O9" s="1165"/>
      <c r="P9" s="1159"/>
      <c r="Q9" s="1151" t="s">
        <v>247</v>
      </c>
      <c r="R9" s="1153" t="s">
        <v>195</v>
      </c>
    </row>
    <row r="10" spans="1:18" ht="34.5" customHeight="1" thickBot="1">
      <c r="A10" s="1137"/>
      <c r="B10" s="1138"/>
      <c r="C10" s="1160"/>
      <c r="D10" s="581" t="s">
        <v>208</v>
      </c>
      <c r="E10" s="582" t="s">
        <v>209</v>
      </c>
      <c r="F10" s="583" t="s">
        <v>248</v>
      </c>
      <c r="G10" s="584" t="s">
        <v>249</v>
      </c>
      <c r="H10" s="584" t="s">
        <v>250</v>
      </c>
      <c r="I10" s="585" t="s">
        <v>251</v>
      </c>
      <c r="J10" s="586" t="s">
        <v>252</v>
      </c>
      <c r="K10" s="585" t="s">
        <v>253</v>
      </c>
      <c r="L10" s="583" t="s">
        <v>254</v>
      </c>
      <c r="M10" s="584" t="s">
        <v>255</v>
      </c>
      <c r="N10" s="584" t="s">
        <v>256</v>
      </c>
      <c r="O10" s="587" t="s">
        <v>257</v>
      </c>
      <c r="P10" s="588" t="s">
        <v>258</v>
      </c>
      <c r="Q10" s="1152"/>
      <c r="R10" s="1154"/>
    </row>
    <row r="11" spans="1:18" ht="16.5" customHeight="1" thickTop="1">
      <c r="A11" s="1135" t="s">
        <v>259</v>
      </c>
      <c r="B11" s="1136"/>
      <c r="C11" s="589" t="s">
        <v>259</v>
      </c>
      <c r="D11" s="590">
        <v>14511</v>
      </c>
      <c r="E11" s="591" t="s">
        <v>105</v>
      </c>
      <c r="F11" s="590">
        <v>3037</v>
      </c>
      <c r="G11" s="592" t="s">
        <v>105</v>
      </c>
      <c r="H11" s="592" t="s">
        <v>105</v>
      </c>
      <c r="I11" s="593" t="s">
        <v>105</v>
      </c>
      <c r="J11" s="594" t="s">
        <v>105</v>
      </c>
      <c r="K11" s="593" t="s">
        <v>105</v>
      </c>
      <c r="L11" s="595" t="s">
        <v>105</v>
      </c>
      <c r="M11" s="596" t="s">
        <v>105</v>
      </c>
      <c r="N11" s="596" t="s">
        <v>105</v>
      </c>
      <c r="O11" s="597" t="s">
        <v>105</v>
      </c>
      <c r="P11" s="593" t="s">
        <v>105</v>
      </c>
      <c r="Q11" s="598">
        <v>1486</v>
      </c>
      <c r="R11" s="598">
        <f>SUM(D11:Q11)</f>
        <v>19034</v>
      </c>
    </row>
    <row r="12" spans="1:18" ht="16.5" customHeight="1">
      <c r="A12" s="1135"/>
      <c r="B12" s="1136"/>
      <c r="C12" s="589" t="s">
        <v>260</v>
      </c>
      <c r="D12" s="599" t="s">
        <v>105</v>
      </c>
      <c r="E12" s="600" t="s">
        <v>105</v>
      </c>
      <c r="F12" s="599">
        <v>34441</v>
      </c>
      <c r="G12" s="592" t="s">
        <v>105</v>
      </c>
      <c r="H12" s="592" t="s">
        <v>105</v>
      </c>
      <c r="I12" s="593" t="s">
        <v>105</v>
      </c>
      <c r="J12" s="594" t="s">
        <v>105</v>
      </c>
      <c r="K12" s="593" t="s">
        <v>105</v>
      </c>
      <c r="L12" s="595" t="s">
        <v>105</v>
      </c>
      <c r="M12" s="592" t="s">
        <v>105</v>
      </c>
      <c r="N12" s="592" t="s">
        <v>105</v>
      </c>
      <c r="O12" s="597" t="s">
        <v>105</v>
      </c>
      <c r="P12" s="593" t="s">
        <v>105</v>
      </c>
      <c r="Q12" s="601">
        <v>4880</v>
      </c>
      <c r="R12" s="598">
        <f>SUM(D12:Q12)</f>
        <v>39321</v>
      </c>
    </row>
    <row r="13" spans="1:18" ht="16.5" customHeight="1" thickBot="1">
      <c r="A13" s="1137"/>
      <c r="B13" s="1138"/>
      <c r="C13" s="589" t="s">
        <v>261</v>
      </c>
      <c r="D13" s="599" t="s">
        <v>105</v>
      </c>
      <c r="E13" s="600" t="s">
        <v>105</v>
      </c>
      <c r="F13" s="602" t="s">
        <v>105</v>
      </c>
      <c r="G13" s="592" t="s">
        <v>105</v>
      </c>
      <c r="H13" s="592" t="s">
        <v>105</v>
      </c>
      <c r="I13" s="593" t="s">
        <v>105</v>
      </c>
      <c r="J13" s="594" t="s">
        <v>105</v>
      </c>
      <c r="K13" s="593" t="s">
        <v>105</v>
      </c>
      <c r="L13" s="595" t="s">
        <v>105</v>
      </c>
      <c r="M13" s="592" t="s">
        <v>105</v>
      </c>
      <c r="N13" s="592" t="s">
        <v>105</v>
      </c>
      <c r="O13" s="597" t="s">
        <v>105</v>
      </c>
      <c r="P13" s="593" t="s">
        <v>105</v>
      </c>
      <c r="Q13" s="601">
        <v>7580</v>
      </c>
      <c r="R13" s="598">
        <f>SUM(D13:Q13)</f>
        <v>7580</v>
      </c>
    </row>
    <row r="14" spans="1:19" s="611" customFormat="1" ht="16.5" customHeight="1" thickBot="1" thickTop="1">
      <c r="A14" s="1139" t="s">
        <v>262</v>
      </c>
      <c r="B14" s="1140"/>
      <c r="C14" s="1141"/>
      <c r="D14" s="603">
        <f>SUM(D11:D13)</f>
        <v>14511</v>
      </c>
      <c r="E14" s="604" t="s">
        <v>105</v>
      </c>
      <c r="F14" s="603">
        <f>SUM(F11:F13)</f>
        <v>37478</v>
      </c>
      <c r="G14" s="605" t="s">
        <v>105</v>
      </c>
      <c r="H14" s="605" t="s">
        <v>105</v>
      </c>
      <c r="I14" s="606" t="s">
        <v>105</v>
      </c>
      <c r="J14" s="607" t="s">
        <v>105</v>
      </c>
      <c r="K14" s="606" t="s">
        <v>105</v>
      </c>
      <c r="L14" s="608" t="s">
        <v>105</v>
      </c>
      <c r="M14" s="605" t="s">
        <v>105</v>
      </c>
      <c r="N14" s="605" t="s">
        <v>105</v>
      </c>
      <c r="O14" s="604" t="s">
        <v>105</v>
      </c>
      <c r="P14" s="606" t="s">
        <v>105</v>
      </c>
      <c r="Q14" s="603">
        <f>SUM(Q11:Q13)</f>
        <v>13946</v>
      </c>
      <c r="R14" s="609">
        <f>SUM(R11:R13)</f>
        <v>65935</v>
      </c>
      <c r="S14" s="610"/>
    </row>
    <row r="15" spans="1:18" ht="16.5" customHeight="1" thickTop="1">
      <c r="A15" s="1142" t="s">
        <v>263</v>
      </c>
      <c r="B15" s="1143"/>
      <c r="C15" s="589" t="s">
        <v>264</v>
      </c>
      <c r="D15" s="612">
        <v>1684</v>
      </c>
      <c r="E15" s="613" t="s">
        <v>105</v>
      </c>
      <c r="F15" s="614" t="s">
        <v>105</v>
      </c>
      <c r="G15" s="615">
        <v>53909</v>
      </c>
      <c r="H15" s="592" t="s">
        <v>105</v>
      </c>
      <c r="I15" s="593" t="s">
        <v>105</v>
      </c>
      <c r="J15" s="594" t="s">
        <v>105</v>
      </c>
      <c r="K15" s="593" t="s">
        <v>105</v>
      </c>
      <c r="L15" s="595" t="s">
        <v>105</v>
      </c>
      <c r="M15" s="592" t="s">
        <v>105</v>
      </c>
      <c r="N15" s="592" t="s">
        <v>105</v>
      </c>
      <c r="O15" s="616" t="s">
        <v>105</v>
      </c>
      <c r="P15" s="593" t="s">
        <v>105</v>
      </c>
      <c r="Q15" s="601">
        <v>4369</v>
      </c>
      <c r="R15" s="598">
        <f>SUM(D15:Q15)</f>
        <v>59962</v>
      </c>
    </row>
    <row r="16" spans="1:21" ht="16.5" customHeight="1">
      <c r="A16" s="1144"/>
      <c r="B16" s="1145"/>
      <c r="C16" s="589" t="s">
        <v>265</v>
      </c>
      <c r="D16" s="599" t="s">
        <v>105</v>
      </c>
      <c r="E16" s="613" t="s">
        <v>105</v>
      </c>
      <c r="F16" s="614" t="s">
        <v>105</v>
      </c>
      <c r="G16" s="592" t="s">
        <v>105</v>
      </c>
      <c r="H16" s="592" t="s">
        <v>105</v>
      </c>
      <c r="I16" s="593" t="s">
        <v>105</v>
      </c>
      <c r="J16" s="594" t="s">
        <v>105</v>
      </c>
      <c r="K16" s="593" t="s">
        <v>105</v>
      </c>
      <c r="L16" s="595" t="s">
        <v>105</v>
      </c>
      <c r="M16" s="592" t="s">
        <v>105</v>
      </c>
      <c r="N16" s="592" t="s">
        <v>105</v>
      </c>
      <c r="O16" s="616" t="s">
        <v>105</v>
      </c>
      <c r="P16" s="593" t="s">
        <v>105</v>
      </c>
      <c r="Q16" s="601">
        <v>4708</v>
      </c>
      <c r="R16" s="598">
        <f>SUM(D16:Q16)</f>
        <v>4708</v>
      </c>
      <c r="U16" s="617"/>
    </row>
    <row r="17" spans="1:18" ht="12.75">
      <c r="A17" s="1144"/>
      <c r="B17" s="1145"/>
      <c r="C17" s="589" t="s">
        <v>266</v>
      </c>
      <c r="D17" s="599" t="s">
        <v>105</v>
      </c>
      <c r="E17" s="613" t="s">
        <v>105</v>
      </c>
      <c r="F17" s="614" t="s">
        <v>105</v>
      </c>
      <c r="G17" s="592" t="s">
        <v>105</v>
      </c>
      <c r="H17" s="592" t="s">
        <v>105</v>
      </c>
      <c r="I17" s="593" t="s">
        <v>105</v>
      </c>
      <c r="J17" s="594" t="s">
        <v>105</v>
      </c>
      <c r="K17" s="593" t="s">
        <v>105</v>
      </c>
      <c r="L17" s="595" t="s">
        <v>105</v>
      </c>
      <c r="M17" s="592" t="s">
        <v>105</v>
      </c>
      <c r="N17" s="592" t="s">
        <v>105</v>
      </c>
      <c r="O17" s="616" t="s">
        <v>105</v>
      </c>
      <c r="P17" s="593" t="s">
        <v>105</v>
      </c>
      <c r="Q17" s="601">
        <v>15378</v>
      </c>
      <c r="R17" s="598">
        <f>SUM(D17:Q17)</f>
        <v>15378</v>
      </c>
    </row>
    <row r="18" spans="1:18" ht="13.5" thickBot="1">
      <c r="A18" s="1146"/>
      <c r="B18" s="1147"/>
      <c r="C18" s="589" t="s">
        <v>267</v>
      </c>
      <c r="D18" s="599" t="s">
        <v>105</v>
      </c>
      <c r="E18" s="613" t="s">
        <v>105</v>
      </c>
      <c r="F18" s="614" t="s">
        <v>105</v>
      </c>
      <c r="G18" s="618" t="s">
        <v>105</v>
      </c>
      <c r="H18" s="592" t="s">
        <v>105</v>
      </c>
      <c r="I18" s="593" t="s">
        <v>105</v>
      </c>
      <c r="J18" s="594" t="s">
        <v>105</v>
      </c>
      <c r="K18" s="593" t="s">
        <v>105</v>
      </c>
      <c r="L18" s="595" t="s">
        <v>105</v>
      </c>
      <c r="M18" s="592" t="s">
        <v>105</v>
      </c>
      <c r="N18" s="592" t="s">
        <v>105</v>
      </c>
      <c r="O18" s="616" t="s">
        <v>105</v>
      </c>
      <c r="P18" s="593" t="s">
        <v>105</v>
      </c>
      <c r="Q18" s="601">
        <f>3300+2912</f>
        <v>6212</v>
      </c>
      <c r="R18" s="598">
        <f>SUM(D18:Q18)</f>
        <v>6212</v>
      </c>
    </row>
    <row r="19" spans="1:19" s="611" customFormat="1" ht="16.5" thickBot="1" thickTop="1">
      <c r="A19" s="1139" t="s">
        <v>262</v>
      </c>
      <c r="B19" s="1140"/>
      <c r="C19" s="1141"/>
      <c r="D19" s="603">
        <f>SUM(D15:D18)</f>
        <v>1684</v>
      </c>
      <c r="E19" s="604" t="s">
        <v>105</v>
      </c>
      <c r="F19" s="603" t="s">
        <v>105</v>
      </c>
      <c r="G19" s="605">
        <f>SUM(G15:G18)</f>
        <v>53909</v>
      </c>
      <c r="H19" s="605" t="s">
        <v>105</v>
      </c>
      <c r="I19" s="606" t="s">
        <v>105</v>
      </c>
      <c r="J19" s="607" t="s">
        <v>105</v>
      </c>
      <c r="K19" s="606" t="s">
        <v>105</v>
      </c>
      <c r="L19" s="608" t="s">
        <v>105</v>
      </c>
      <c r="M19" s="605" t="s">
        <v>105</v>
      </c>
      <c r="N19" s="605" t="s">
        <v>105</v>
      </c>
      <c r="O19" s="604" t="s">
        <v>105</v>
      </c>
      <c r="P19" s="606" t="s">
        <v>105</v>
      </c>
      <c r="Q19" s="603">
        <f>SUM(Q15:Q18)</f>
        <v>30667</v>
      </c>
      <c r="R19" s="609">
        <f>SUM(R15:R18)</f>
        <v>86260</v>
      </c>
      <c r="S19" s="610"/>
    </row>
    <row r="20" spans="1:18" ht="13.5" thickTop="1">
      <c r="A20" s="1133" t="s">
        <v>268</v>
      </c>
      <c r="B20" s="1134"/>
      <c r="C20" s="619" t="s">
        <v>269</v>
      </c>
      <c r="D20" s="599" t="s">
        <v>105</v>
      </c>
      <c r="E20" s="620">
        <f>14154+1676+2319+175</f>
        <v>18324</v>
      </c>
      <c r="F20" s="621" t="s">
        <v>105</v>
      </c>
      <c r="G20" s="592" t="s">
        <v>105</v>
      </c>
      <c r="H20" s="592" t="s">
        <v>105</v>
      </c>
      <c r="I20" s="593" t="s">
        <v>105</v>
      </c>
      <c r="J20" s="594" t="s">
        <v>105</v>
      </c>
      <c r="K20" s="593" t="s">
        <v>105</v>
      </c>
      <c r="L20" s="595" t="s">
        <v>105</v>
      </c>
      <c r="M20" s="592" t="s">
        <v>105</v>
      </c>
      <c r="N20" s="592" t="s">
        <v>105</v>
      </c>
      <c r="O20" s="616" t="s">
        <v>105</v>
      </c>
      <c r="P20" s="593" t="s">
        <v>105</v>
      </c>
      <c r="Q20" s="622" t="s">
        <v>105</v>
      </c>
      <c r="R20" s="598">
        <f>SUM(D20:Q20)</f>
        <v>18324</v>
      </c>
    </row>
    <row r="21" spans="1:18" ht="12.75">
      <c r="A21" s="1135"/>
      <c r="B21" s="1136"/>
      <c r="C21" s="589" t="s">
        <v>268</v>
      </c>
      <c r="D21" s="599" t="s">
        <v>105</v>
      </c>
      <c r="E21" s="623">
        <f>146+1626+7842+14036+747+2928+535+1084</f>
        <v>28944</v>
      </c>
      <c r="F21" s="621" t="s">
        <v>105</v>
      </c>
      <c r="G21" s="592" t="s">
        <v>105</v>
      </c>
      <c r="H21" s="592" t="s">
        <v>105</v>
      </c>
      <c r="I21" s="593" t="s">
        <v>105</v>
      </c>
      <c r="J21" s="594" t="s">
        <v>105</v>
      </c>
      <c r="K21" s="593" t="s">
        <v>105</v>
      </c>
      <c r="L21" s="595" t="s">
        <v>105</v>
      </c>
      <c r="M21" s="592" t="s">
        <v>105</v>
      </c>
      <c r="N21" s="592" t="s">
        <v>105</v>
      </c>
      <c r="O21" s="616" t="s">
        <v>105</v>
      </c>
      <c r="P21" s="593" t="s">
        <v>105</v>
      </c>
      <c r="Q21" s="622" t="s">
        <v>105</v>
      </c>
      <c r="R21" s="598">
        <f>SUM(D21:Q21)</f>
        <v>28944</v>
      </c>
    </row>
    <row r="22" spans="1:18" ht="13.5" thickBot="1">
      <c r="A22" s="1137"/>
      <c r="B22" s="1138"/>
      <c r="C22" s="589" t="s">
        <v>270</v>
      </c>
      <c r="D22" s="599" t="s">
        <v>105</v>
      </c>
      <c r="E22" s="623">
        <f>3201+111+152</f>
        <v>3464</v>
      </c>
      <c r="F22" s="621" t="s">
        <v>105</v>
      </c>
      <c r="G22" s="592" t="s">
        <v>105</v>
      </c>
      <c r="H22" s="592" t="s">
        <v>105</v>
      </c>
      <c r="I22" s="593" t="s">
        <v>105</v>
      </c>
      <c r="J22" s="594" t="s">
        <v>105</v>
      </c>
      <c r="K22" s="593" t="s">
        <v>105</v>
      </c>
      <c r="L22" s="595" t="s">
        <v>105</v>
      </c>
      <c r="M22" s="592" t="s">
        <v>105</v>
      </c>
      <c r="N22" s="592" t="s">
        <v>105</v>
      </c>
      <c r="O22" s="616" t="s">
        <v>105</v>
      </c>
      <c r="P22" s="593" t="s">
        <v>105</v>
      </c>
      <c r="Q22" s="622" t="s">
        <v>105</v>
      </c>
      <c r="R22" s="598">
        <f>SUM(D22:Q22)</f>
        <v>3464</v>
      </c>
    </row>
    <row r="23" spans="1:19" s="611" customFormat="1" ht="16.5" thickBot="1" thickTop="1">
      <c r="A23" s="1139" t="s">
        <v>262</v>
      </c>
      <c r="B23" s="1140"/>
      <c r="C23" s="1141"/>
      <c r="D23" s="603" t="s">
        <v>105</v>
      </c>
      <c r="E23" s="624">
        <f>SUM(E20:E22)</f>
        <v>50732</v>
      </c>
      <c r="F23" s="603" t="s">
        <v>105</v>
      </c>
      <c r="G23" s="605" t="s">
        <v>105</v>
      </c>
      <c r="H23" s="605" t="s">
        <v>105</v>
      </c>
      <c r="I23" s="606" t="s">
        <v>105</v>
      </c>
      <c r="J23" s="607" t="s">
        <v>105</v>
      </c>
      <c r="K23" s="606" t="s">
        <v>105</v>
      </c>
      <c r="L23" s="608" t="s">
        <v>105</v>
      </c>
      <c r="M23" s="605" t="s">
        <v>105</v>
      </c>
      <c r="N23" s="605" t="s">
        <v>105</v>
      </c>
      <c r="O23" s="604" t="s">
        <v>105</v>
      </c>
      <c r="P23" s="606" t="s">
        <v>105</v>
      </c>
      <c r="Q23" s="609" t="s">
        <v>105</v>
      </c>
      <c r="R23" s="625">
        <f>SUM(R20:R22)</f>
        <v>50732</v>
      </c>
      <c r="S23" s="610"/>
    </row>
    <row r="24" spans="1:18" ht="13.5" thickTop="1">
      <c r="A24" s="1133" t="s">
        <v>271</v>
      </c>
      <c r="B24" s="1134"/>
      <c r="C24" s="589" t="s">
        <v>272</v>
      </c>
      <c r="D24" s="612">
        <f>12300+369</f>
        <v>12669</v>
      </c>
      <c r="E24" s="613" t="s">
        <v>105</v>
      </c>
      <c r="F24" s="621" t="s">
        <v>105</v>
      </c>
      <c r="G24" s="592" t="s">
        <v>105</v>
      </c>
      <c r="H24" s="592" t="s">
        <v>105</v>
      </c>
      <c r="I24" s="626">
        <v>5292</v>
      </c>
      <c r="J24" s="594" t="s">
        <v>105</v>
      </c>
      <c r="K24" s="593" t="s">
        <v>105</v>
      </c>
      <c r="L24" s="595" t="s">
        <v>105</v>
      </c>
      <c r="M24" s="592" t="s">
        <v>105</v>
      </c>
      <c r="N24" s="592" t="s">
        <v>105</v>
      </c>
      <c r="O24" s="616" t="s">
        <v>105</v>
      </c>
      <c r="P24" s="593" t="s">
        <v>105</v>
      </c>
      <c r="Q24" s="601" t="s">
        <v>105</v>
      </c>
      <c r="R24" s="598">
        <f>SUM(D24:Q24)</f>
        <v>17961</v>
      </c>
    </row>
    <row r="25" spans="1:18" ht="12.75">
      <c r="A25" s="1135"/>
      <c r="B25" s="1136"/>
      <c r="C25" s="589" t="s">
        <v>273</v>
      </c>
      <c r="D25" s="621">
        <f>4154+7295</f>
        <v>11449</v>
      </c>
      <c r="E25" s="600" t="s">
        <v>105</v>
      </c>
      <c r="F25" s="621" t="s">
        <v>105</v>
      </c>
      <c r="G25" s="592" t="s">
        <v>105</v>
      </c>
      <c r="H25" s="627">
        <v>9619</v>
      </c>
      <c r="I25" s="593" t="s">
        <v>105</v>
      </c>
      <c r="J25" s="594" t="s">
        <v>105</v>
      </c>
      <c r="K25" s="593" t="s">
        <v>105</v>
      </c>
      <c r="L25" s="595" t="s">
        <v>105</v>
      </c>
      <c r="M25" s="592" t="s">
        <v>105</v>
      </c>
      <c r="N25" s="592" t="s">
        <v>105</v>
      </c>
      <c r="O25" s="616" t="s">
        <v>105</v>
      </c>
      <c r="P25" s="593" t="s">
        <v>105</v>
      </c>
      <c r="Q25" s="601">
        <v>2105</v>
      </c>
      <c r="R25" s="598">
        <f>SUM(D25:Q25)</f>
        <v>23173</v>
      </c>
    </row>
    <row r="26" spans="1:18" ht="13.5" thickBot="1">
      <c r="A26" s="1137"/>
      <c r="B26" s="1138"/>
      <c r="C26" s="589" t="s">
        <v>274</v>
      </c>
      <c r="D26" s="612">
        <v>828</v>
      </c>
      <c r="E26" s="613" t="s">
        <v>105</v>
      </c>
      <c r="F26" s="621" t="s">
        <v>105</v>
      </c>
      <c r="G26" s="592" t="s">
        <v>105</v>
      </c>
      <c r="H26" s="592" t="s">
        <v>105</v>
      </c>
      <c r="I26" s="628" t="s">
        <v>105</v>
      </c>
      <c r="J26" s="594" t="s">
        <v>105</v>
      </c>
      <c r="K26" s="593" t="s">
        <v>105</v>
      </c>
      <c r="L26" s="595" t="s">
        <v>105</v>
      </c>
      <c r="M26" s="592" t="s">
        <v>105</v>
      </c>
      <c r="N26" s="592" t="s">
        <v>105</v>
      </c>
      <c r="O26" s="616" t="s">
        <v>105</v>
      </c>
      <c r="P26" s="593" t="s">
        <v>105</v>
      </c>
      <c r="Q26" s="601" t="s">
        <v>105</v>
      </c>
      <c r="R26" s="598">
        <f>SUM(D26:Q26)</f>
        <v>828</v>
      </c>
    </row>
    <row r="27" spans="1:19" s="611" customFormat="1" ht="16.5" thickBot="1" thickTop="1">
      <c r="A27" s="1139" t="s">
        <v>262</v>
      </c>
      <c r="B27" s="1140"/>
      <c r="C27" s="1141"/>
      <c r="D27" s="629">
        <f>SUM(D24:D26)</f>
        <v>24946</v>
      </c>
      <c r="E27" s="630" t="s">
        <v>105</v>
      </c>
      <c r="F27" s="603" t="s">
        <v>105</v>
      </c>
      <c r="G27" s="605" t="s">
        <v>105</v>
      </c>
      <c r="H27" s="631">
        <f>SUM(H24:H26)</f>
        <v>9619</v>
      </c>
      <c r="I27" s="632">
        <f>SUM(I24:I26)</f>
        <v>5292</v>
      </c>
      <c r="J27" s="607" t="s">
        <v>105</v>
      </c>
      <c r="K27" s="606" t="s">
        <v>105</v>
      </c>
      <c r="L27" s="608" t="s">
        <v>105</v>
      </c>
      <c r="M27" s="605" t="s">
        <v>105</v>
      </c>
      <c r="N27" s="605" t="s">
        <v>105</v>
      </c>
      <c r="O27" s="604" t="s">
        <v>105</v>
      </c>
      <c r="P27" s="606" t="s">
        <v>105</v>
      </c>
      <c r="Q27" s="629">
        <f>SUM(Q24:Q26)</f>
        <v>2105</v>
      </c>
      <c r="R27" s="625">
        <f>SUM(R24:R26)</f>
        <v>41962</v>
      </c>
      <c r="S27" s="610"/>
    </row>
    <row r="28" spans="1:18" ht="13.5" thickTop="1">
      <c r="A28" s="1133" t="s">
        <v>275</v>
      </c>
      <c r="B28" s="1134"/>
      <c r="C28" s="619" t="s">
        <v>276</v>
      </c>
      <c r="D28" s="599" t="s">
        <v>105</v>
      </c>
      <c r="E28" s="613" t="s">
        <v>105</v>
      </c>
      <c r="F28" s="621" t="s">
        <v>105</v>
      </c>
      <c r="G28" s="592" t="s">
        <v>105</v>
      </c>
      <c r="H28" s="592" t="s">
        <v>105</v>
      </c>
      <c r="I28" s="633" t="s">
        <v>105</v>
      </c>
      <c r="J28" s="594" t="s">
        <v>105</v>
      </c>
      <c r="K28" s="593" t="s">
        <v>105</v>
      </c>
      <c r="L28" s="595" t="s">
        <v>105</v>
      </c>
      <c r="M28" s="592" t="s">
        <v>105</v>
      </c>
      <c r="N28" s="592" t="s">
        <v>105</v>
      </c>
      <c r="O28" s="616" t="s">
        <v>105</v>
      </c>
      <c r="P28" s="593" t="s">
        <v>105</v>
      </c>
      <c r="Q28" s="601">
        <v>2508</v>
      </c>
      <c r="R28" s="598">
        <f>SUM(D28:Q28)</f>
        <v>2508</v>
      </c>
    </row>
    <row r="29" spans="1:18" ht="12.75">
      <c r="A29" s="1135"/>
      <c r="B29" s="1136"/>
      <c r="C29" s="589" t="s">
        <v>277</v>
      </c>
      <c r="D29" s="599" t="s">
        <v>105</v>
      </c>
      <c r="E29" s="600" t="s">
        <v>105</v>
      </c>
      <c r="F29" s="621" t="s">
        <v>105</v>
      </c>
      <c r="G29" s="592" t="s">
        <v>105</v>
      </c>
      <c r="H29" s="592" t="s">
        <v>105</v>
      </c>
      <c r="I29" s="633" t="s">
        <v>105</v>
      </c>
      <c r="J29" s="594" t="s">
        <v>105</v>
      </c>
      <c r="K29" s="593" t="s">
        <v>105</v>
      </c>
      <c r="L29" s="595" t="s">
        <v>105</v>
      </c>
      <c r="M29" s="592" t="s">
        <v>105</v>
      </c>
      <c r="N29" s="592" t="s">
        <v>105</v>
      </c>
      <c r="O29" s="634" t="s">
        <v>105</v>
      </c>
      <c r="P29" s="593" t="s">
        <v>105</v>
      </c>
      <c r="Q29" s="635">
        <v>2729</v>
      </c>
      <c r="R29" s="598">
        <f>SUM(D29:Q29)</f>
        <v>2729</v>
      </c>
    </row>
    <row r="30" spans="1:18" ht="13.5" thickBot="1">
      <c r="A30" s="1137"/>
      <c r="B30" s="1138"/>
      <c r="C30" s="589" t="s">
        <v>275</v>
      </c>
      <c r="D30" s="599" t="s">
        <v>105</v>
      </c>
      <c r="E30" s="600" t="s">
        <v>105</v>
      </c>
      <c r="F30" s="621" t="s">
        <v>105</v>
      </c>
      <c r="G30" s="592" t="s">
        <v>105</v>
      </c>
      <c r="H30" s="592" t="s">
        <v>105</v>
      </c>
      <c r="I30" s="633" t="s">
        <v>105</v>
      </c>
      <c r="J30" s="594" t="s">
        <v>105</v>
      </c>
      <c r="K30" s="593" t="s">
        <v>105</v>
      </c>
      <c r="L30" s="595" t="s">
        <v>105</v>
      </c>
      <c r="M30" s="592" t="s">
        <v>105</v>
      </c>
      <c r="N30" s="627">
        <v>30571</v>
      </c>
      <c r="O30" s="616">
        <v>4045</v>
      </c>
      <c r="P30" s="593" t="s">
        <v>105</v>
      </c>
      <c r="Q30" s="636">
        <v>556</v>
      </c>
      <c r="R30" s="598">
        <f>SUM(D30:Q30)</f>
        <v>35172</v>
      </c>
    </row>
    <row r="31" spans="1:19" s="611" customFormat="1" ht="16.5" thickBot="1" thickTop="1">
      <c r="A31" s="1139" t="s">
        <v>262</v>
      </c>
      <c r="B31" s="1140"/>
      <c r="C31" s="1141"/>
      <c r="D31" s="603" t="s">
        <v>105</v>
      </c>
      <c r="E31" s="630" t="s">
        <v>105</v>
      </c>
      <c r="F31" s="603" t="s">
        <v>105</v>
      </c>
      <c r="G31" s="605" t="s">
        <v>105</v>
      </c>
      <c r="H31" s="605" t="s">
        <v>105</v>
      </c>
      <c r="I31" s="606" t="s">
        <v>105</v>
      </c>
      <c r="J31" s="607" t="s">
        <v>105</v>
      </c>
      <c r="K31" s="606" t="s">
        <v>105</v>
      </c>
      <c r="L31" s="608" t="s">
        <v>105</v>
      </c>
      <c r="M31" s="605" t="s">
        <v>105</v>
      </c>
      <c r="N31" s="605">
        <f>SUM(N28:N30)</f>
        <v>30571</v>
      </c>
      <c r="O31" s="604">
        <f>SUM(O28:O30)</f>
        <v>4045</v>
      </c>
      <c r="P31" s="606" t="s">
        <v>105</v>
      </c>
      <c r="Q31" s="609">
        <f>SUM(Q28:Q30)</f>
        <v>5793</v>
      </c>
      <c r="R31" s="625">
        <f>SUM(R28:R30)</f>
        <v>40409</v>
      </c>
      <c r="S31" s="610"/>
    </row>
    <row r="32" spans="1:18" ht="13.5" thickTop="1">
      <c r="A32" s="1133" t="s">
        <v>278</v>
      </c>
      <c r="B32" s="1134"/>
      <c r="C32" s="589" t="s">
        <v>279</v>
      </c>
      <c r="D32" s="612">
        <v>14511</v>
      </c>
      <c r="E32" s="613" t="s">
        <v>105</v>
      </c>
      <c r="F32" s="621">
        <v>2379</v>
      </c>
      <c r="G32" s="592" t="s">
        <v>105</v>
      </c>
      <c r="H32" s="592" t="s">
        <v>105</v>
      </c>
      <c r="I32" s="593" t="s">
        <v>105</v>
      </c>
      <c r="J32" s="637">
        <v>152</v>
      </c>
      <c r="K32" s="593" t="s">
        <v>105</v>
      </c>
      <c r="L32" s="638" t="s">
        <v>105</v>
      </c>
      <c r="M32" s="592" t="s">
        <v>105</v>
      </c>
      <c r="N32" s="592" t="s">
        <v>105</v>
      </c>
      <c r="O32" s="616" t="s">
        <v>105</v>
      </c>
      <c r="P32" s="639" t="s">
        <v>105</v>
      </c>
      <c r="Q32" s="601" t="s">
        <v>105</v>
      </c>
      <c r="R32" s="598">
        <f>SUM(D32:Q32)</f>
        <v>17042</v>
      </c>
    </row>
    <row r="33" spans="1:18" ht="12.75">
      <c r="A33" s="1135"/>
      <c r="B33" s="1136"/>
      <c r="C33" s="589" t="s">
        <v>280</v>
      </c>
      <c r="D33" s="612">
        <v>1069</v>
      </c>
      <c r="E33" s="600" t="s">
        <v>105</v>
      </c>
      <c r="F33" s="621" t="s">
        <v>105</v>
      </c>
      <c r="G33" s="592" t="s">
        <v>105</v>
      </c>
      <c r="H33" s="592" t="s">
        <v>105</v>
      </c>
      <c r="I33" s="593" t="s">
        <v>105</v>
      </c>
      <c r="J33" s="640" t="s">
        <v>105</v>
      </c>
      <c r="K33" s="641">
        <v>3534</v>
      </c>
      <c r="L33" s="638" t="s">
        <v>105</v>
      </c>
      <c r="M33" s="592" t="s">
        <v>105</v>
      </c>
      <c r="N33" s="592" t="s">
        <v>105</v>
      </c>
      <c r="O33" s="616" t="s">
        <v>105</v>
      </c>
      <c r="P33" s="639" t="s">
        <v>105</v>
      </c>
      <c r="Q33" s="601" t="s">
        <v>105</v>
      </c>
      <c r="R33" s="598">
        <f>SUM(D33:Q33)</f>
        <v>4603</v>
      </c>
    </row>
    <row r="34" spans="1:18" ht="13.5" thickBot="1">
      <c r="A34" s="1137"/>
      <c r="B34" s="1138"/>
      <c r="C34" s="589" t="s">
        <v>281</v>
      </c>
      <c r="D34" s="599" t="s">
        <v>105</v>
      </c>
      <c r="E34" s="600" t="s">
        <v>105</v>
      </c>
      <c r="F34" s="621" t="s">
        <v>105</v>
      </c>
      <c r="G34" s="592" t="s">
        <v>105</v>
      </c>
      <c r="H34" s="592" t="s">
        <v>105</v>
      </c>
      <c r="I34" s="593" t="s">
        <v>105</v>
      </c>
      <c r="J34" s="642" t="s">
        <v>105</v>
      </c>
      <c r="K34" s="633" t="s">
        <v>105</v>
      </c>
      <c r="L34" s="643" t="s">
        <v>105</v>
      </c>
      <c r="M34" s="592" t="s">
        <v>105</v>
      </c>
      <c r="N34" s="592" t="s">
        <v>105</v>
      </c>
      <c r="O34" s="616" t="s">
        <v>105</v>
      </c>
      <c r="P34" s="626">
        <v>6289</v>
      </c>
      <c r="Q34" s="601">
        <f>2983+800</f>
        <v>3783</v>
      </c>
      <c r="R34" s="598">
        <f>SUM(D34:Q34)</f>
        <v>10072</v>
      </c>
    </row>
    <row r="35" spans="1:19" s="611" customFormat="1" ht="16.5" thickBot="1" thickTop="1">
      <c r="A35" s="1139" t="s">
        <v>262</v>
      </c>
      <c r="B35" s="1140"/>
      <c r="C35" s="1141"/>
      <c r="D35" s="603">
        <f>SUM(D32:D34)</f>
        <v>15580</v>
      </c>
      <c r="E35" s="630" t="s">
        <v>105</v>
      </c>
      <c r="F35" s="603">
        <f>SUM(F32:F34)</f>
        <v>2379</v>
      </c>
      <c r="G35" s="605" t="s">
        <v>105</v>
      </c>
      <c r="H35" s="605" t="s">
        <v>105</v>
      </c>
      <c r="I35" s="606" t="s">
        <v>105</v>
      </c>
      <c r="J35" s="607">
        <f>SUM(J32:J34)</f>
        <v>152</v>
      </c>
      <c r="K35" s="606">
        <f>SUM(K32:K34)</f>
        <v>3534</v>
      </c>
      <c r="L35" s="608" t="s">
        <v>105</v>
      </c>
      <c r="M35" s="605" t="s">
        <v>105</v>
      </c>
      <c r="N35" s="605" t="s">
        <v>105</v>
      </c>
      <c r="O35" s="604" t="s">
        <v>105</v>
      </c>
      <c r="P35" s="606">
        <f>SUM(P32:P34)</f>
        <v>6289</v>
      </c>
      <c r="Q35" s="609">
        <f>SUM(Q32:Q34)</f>
        <v>3783</v>
      </c>
      <c r="R35" s="625">
        <f>SUM(R32:R34)</f>
        <v>31717</v>
      </c>
      <c r="S35" s="610"/>
    </row>
    <row r="36" spans="1:20" ht="13.5" thickTop="1">
      <c r="A36" s="1142" t="s">
        <v>282</v>
      </c>
      <c r="B36" s="1143"/>
      <c r="C36" s="619" t="s">
        <v>283</v>
      </c>
      <c r="D36" s="599" t="s">
        <v>105</v>
      </c>
      <c r="E36" s="623" t="s">
        <v>105</v>
      </c>
      <c r="F36" s="621" t="s">
        <v>105</v>
      </c>
      <c r="G36" s="592" t="s">
        <v>105</v>
      </c>
      <c r="H36" s="592" t="s">
        <v>105</v>
      </c>
      <c r="I36" s="593" t="s">
        <v>105</v>
      </c>
      <c r="J36" s="594" t="s">
        <v>105</v>
      </c>
      <c r="K36" s="633" t="s">
        <v>105</v>
      </c>
      <c r="L36" s="643" t="s">
        <v>105</v>
      </c>
      <c r="M36" s="644" t="s">
        <v>105</v>
      </c>
      <c r="N36" s="644" t="s">
        <v>105</v>
      </c>
      <c r="O36" s="616" t="s">
        <v>105</v>
      </c>
      <c r="P36" s="633" t="s">
        <v>105</v>
      </c>
      <c r="Q36" s="601">
        <v>3858</v>
      </c>
      <c r="R36" s="598">
        <f aca="true" t="shared" si="0" ref="R36:R42">SUM(D36:Q36)</f>
        <v>3858</v>
      </c>
      <c r="T36" s="617">
        <f>+Q36+Q37</f>
        <v>10781</v>
      </c>
    </row>
    <row r="37" spans="1:18" ht="12.75">
      <c r="A37" s="1144"/>
      <c r="B37" s="1145"/>
      <c r="C37" s="619" t="s">
        <v>284</v>
      </c>
      <c r="D37" s="599" t="s">
        <v>105</v>
      </c>
      <c r="E37" s="645" t="s">
        <v>105</v>
      </c>
      <c r="F37" s="621" t="s">
        <v>105</v>
      </c>
      <c r="G37" s="592" t="s">
        <v>105</v>
      </c>
      <c r="H37" s="592" t="s">
        <v>105</v>
      </c>
      <c r="I37" s="593" t="s">
        <v>105</v>
      </c>
      <c r="J37" s="594" t="s">
        <v>105</v>
      </c>
      <c r="K37" s="633" t="s">
        <v>105</v>
      </c>
      <c r="L37" s="643" t="s">
        <v>105</v>
      </c>
      <c r="M37" s="644" t="s">
        <v>105</v>
      </c>
      <c r="N37" s="644" t="s">
        <v>105</v>
      </c>
      <c r="O37" s="616" t="s">
        <v>105</v>
      </c>
      <c r="P37" s="633" t="s">
        <v>105</v>
      </c>
      <c r="Q37" s="601">
        <v>6923</v>
      </c>
      <c r="R37" s="598">
        <f t="shared" si="0"/>
        <v>6923</v>
      </c>
    </row>
    <row r="38" spans="1:18" ht="12.75">
      <c r="A38" s="1144"/>
      <c r="B38" s="1145"/>
      <c r="C38" s="619" t="s">
        <v>285</v>
      </c>
      <c r="D38" s="599" t="s">
        <v>105</v>
      </c>
      <c r="E38" s="645" t="s">
        <v>105</v>
      </c>
      <c r="F38" s="621" t="s">
        <v>105</v>
      </c>
      <c r="G38" s="592" t="s">
        <v>105</v>
      </c>
      <c r="H38" s="592" t="s">
        <v>105</v>
      </c>
      <c r="I38" s="593" t="s">
        <v>105</v>
      </c>
      <c r="J38" s="594" t="s">
        <v>105</v>
      </c>
      <c r="K38" s="633" t="s">
        <v>105</v>
      </c>
      <c r="L38" s="646">
        <v>3037</v>
      </c>
      <c r="M38" s="647">
        <v>1992</v>
      </c>
      <c r="N38" s="644" t="s">
        <v>105</v>
      </c>
      <c r="O38" s="616" t="s">
        <v>105</v>
      </c>
      <c r="P38" s="633" t="s">
        <v>105</v>
      </c>
      <c r="Q38" s="601">
        <v>3392</v>
      </c>
      <c r="R38" s="598">
        <f t="shared" si="0"/>
        <v>8421</v>
      </c>
    </row>
    <row r="39" spans="1:18" ht="12.75">
      <c r="A39" s="1144"/>
      <c r="B39" s="1145"/>
      <c r="C39" s="589" t="s">
        <v>286</v>
      </c>
      <c r="D39" s="599" t="s">
        <v>105</v>
      </c>
      <c r="E39" s="623" t="s">
        <v>105</v>
      </c>
      <c r="F39" s="621" t="s">
        <v>105</v>
      </c>
      <c r="G39" s="592" t="s">
        <v>105</v>
      </c>
      <c r="H39" s="592" t="s">
        <v>105</v>
      </c>
      <c r="I39" s="593" t="s">
        <v>105</v>
      </c>
      <c r="J39" s="594" t="s">
        <v>105</v>
      </c>
      <c r="K39" s="633" t="s">
        <v>105</v>
      </c>
      <c r="L39" s="643" t="s">
        <v>105</v>
      </c>
      <c r="M39" s="644" t="s">
        <v>105</v>
      </c>
      <c r="N39" s="644" t="s">
        <v>105</v>
      </c>
      <c r="O39" s="616" t="s">
        <v>105</v>
      </c>
      <c r="P39" s="633" t="s">
        <v>105</v>
      </c>
      <c r="Q39" s="601">
        <v>4419</v>
      </c>
      <c r="R39" s="598">
        <f t="shared" si="0"/>
        <v>4419</v>
      </c>
    </row>
    <row r="40" spans="1:18" ht="12.75">
      <c r="A40" s="1144"/>
      <c r="B40" s="1145"/>
      <c r="C40" s="589" t="s">
        <v>287</v>
      </c>
      <c r="D40" s="599" t="s">
        <v>105</v>
      </c>
      <c r="E40" s="645" t="s">
        <v>105</v>
      </c>
      <c r="F40" s="621" t="s">
        <v>105</v>
      </c>
      <c r="G40" s="592" t="s">
        <v>105</v>
      </c>
      <c r="H40" s="592" t="s">
        <v>105</v>
      </c>
      <c r="I40" s="593" t="s">
        <v>105</v>
      </c>
      <c r="J40" s="594" t="s">
        <v>105</v>
      </c>
      <c r="K40" s="633" t="s">
        <v>105</v>
      </c>
      <c r="L40" s="643" t="s">
        <v>105</v>
      </c>
      <c r="M40" s="644" t="s">
        <v>105</v>
      </c>
      <c r="N40" s="644" t="s">
        <v>105</v>
      </c>
      <c r="O40" s="616" t="s">
        <v>105</v>
      </c>
      <c r="P40" s="633" t="s">
        <v>105</v>
      </c>
      <c r="Q40" s="601">
        <v>5818</v>
      </c>
      <c r="R40" s="598">
        <f t="shared" si="0"/>
        <v>5818</v>
      </c>
    </row>
    <row r="41" spans="1:18" ht="12.75">
      <c r="A41" s="1144"/>
      <c r="B41" s="1145"/>
      <c r="C41" s="589" t="s">
        <v>288</v>
      </c>
      <c r="D41" s="599" t="s">
        <v>105</v>
      </c>
      <c r="E41" s="645" t="s">
        <v>105</v>
      </c>
      <c r="F41" s="621" t="s">
        <v>105</v>
      </c>
      <c r="G41" s="592" t="s">
        <v>105</v>
      </c>
      <c r="H41" s="592" t="s">
        <v>105</v>
      </c>
      <c r="I41" s="593" t="s">
        <v>105</v>
      </c>
      <c r="J41" s="594" t="s">
        <v>105</v>
      </c>
      <c r="K41" s="633" t="s">
        <v>105</v>
      </c>
      <c r="L41" s="643" t="s">
        <v>105</v>
      </c>
      <c r="M41" s="644" t="s">
        <v>105</v>
      </c>
      <c r="N41" s="644" t="s">
        <v>105</v>
      </c>
      <c r="O41" s="616" t="s">
        <v>105</v>
      </c>
      <c r="P41" s="633" t="s">
        <v>105</v>
      </c>
      <c r="Q41" s="601">
        <v>2834</v>
      </c>
      <c r="R41" s="598">
        <f t="shared" si="0"/>
        <v>2834</v>
      </c>
    </row>
    <row r="42" spans="1:18" ht="13.5" thickBot="1">
      <c r="A42" s="1146"/>
      <c r="B42" s="1147"/>
      <c r="C42" s="589" t="s">
        <v>289</v>
      </c>
      <c r="D42" s="599" t="s">
        <v>105</v>
      </c>
      <c r="E42" s="645" t="s">
        <v>105</v>
      </c>
      <c r="F42" s="621" t="s">
        <v>105</v>
      </c>
      <c r="G42" s="648" t="s">
        <v>105</v>
      </c>
      <c r="H42" s="592" t="s">
        <v>105</v>
      </c>
      <c r="I42" s="593" t="s">
        <v>105</v>
      </c>
      <c r="J42" s="594" t="s">
        <v>105</v>
      </c>
      <c r="K42" s="633" t="s">
        <v>105</v>
      </c>
      <c r="L42" s="643" t="s">
        <v>105</v>
      </c>
      <c r="M42" s="644" t="s">
        <v>105</v>
      </c>
      <c r="N42" s="644" t="s">
        <v>105</v>
      </c>
      <c r="O42" s="616" t="s">
        <v>105</v>
      </c>
      <c r="P42" s="633" t="s">
        <v>105</v>
      </c>
      <c r="Q42" s="601">
        <v>265</v>
      </c>
      <c r="R42" s="598">
        <f t="shared" si="0"/>
        <v>265</v>
      </c>
    </row>
    <row r="43" spans="1:19" s="611" customFormat="1" ht="16.5" thickBot="1" thickTop="1">
      <c r="A43" s="1139" t="s">
        <v>262</v>
      </c>
      <c r="B43" s="1140"/>
      <c r="C43" s="1141"/>
      <c r="D43" s="649" t="s">
        <v>105</v>
      </c>
      <c r="E43" s="650" t="s">
        <v>105</v>
      </c>
      <c r="F43" s="651" t="s">
        <v>105</v>
      </c>
      <c r="G43" s="652" t="s">
        <v>105</v>
      </c>
      <c r="H43" s="653" t="s">
        <v>105</v>
      </c>
      <c r="I43" s="650" t="s">
        <v>105</v>
      </c>
      <c r="J43" s="649" t="s">
        <v>105</v>
      </c>
      <c r="K43" s="650" t="s">
        <v>105</v>
      </c>
      <c r="L43" s="651">
        <f>SUM(L36:L42)</f>
        <v>3037</v>
      </c>
      <c r="M43" s="653">
        <f>SUM(M36:M42)</f>
        <v>1992</v>
      </c>
      <c r="N43" s="653" t="s">
        <v>105</v>
      </c>
      <c r="O43" s="654" t="s">
        <v>105</v>
      </c>
      <c r="P43" s="655" t="s">
        <v>105</v>
      </c>
      <c r="Q43" s="649">
        <f>SUM(Q36:Q42)</f>
        <v>27509</v>
      </c>
      <c r="R43" s="656">
        <f>SUM(R36:R42)</f>
        <v>32538</v>
      </c>
      <c r="S43" s="657"/>
    </row>
    <row r="44" spans="1:19" ht="16.5" thickBot="1" thickTop="1">
      <c r="A44" s="1148" t="s">
        <v>290</v>
      </c>
      <c r="B44" s="1149"/>
      <c r="C44" s="1150"/>
      <c r="D44" s="629">
        <f aca="true" t="shared" si="1" ref="D44:Q44">SUM(D43,D35,D31,D27,D23,D19,D14)</f>
        <v>56721</v>
      </c>
      <c r="E44" s="658">
        <f t="shared" si="1"/>
        <v>50732</v>
      </c>
      <c r="F44" s="629">
        <f t="shared" si="1"/>
        <v>39857</v>
      </c>
      <c r="G44" s="659">
        <f t="shared" si="1"/>
        <v>53909</v>
      </c>
      <c r="H44" s="631">
        <f t="shared" si="1"/>
        <v>9619</v>
      </c>
      <c r="I44" s="632">
        <f t="shared" si="1"/>
        <v>5292</v>
      </c>
      <c r="J44" s="629">
        <f t="shared" si="1"/>
        <v>152</v>
      </c>
      <c r="K44" s="632">
        <f t="shared" si="1"/>
        <v>3534</v>
      </c>
      <c r="L44" s="660">
        <f t="shared" si="1"/>
        <v>3037</v>
      </c>
      <c r="M44" s="631">
        <f t="shared" si="1"/>
        <v>1992</v>
      </c>
      <c r="N44" s="631">
        <f t="shared" si="1"/>
        <v>30571</v>
      </c>
      <c r="O44" s="607">
        <f t="shared" si="1"/>
        <v>4045</v>
      </c>
      <c r="P44" s="632">
        <f t="shared" si="1"/>
        <v>6289</v>
      </c>
      <c r="Q44" s="629">
        <f t="shared" si="1"/>
        <v>83803</v>
      </c>
      <c r="R44" s="661">
        <f>SUM(D44:Q44)</f>
        <v>349553</v>
      </c>
      <c r="S44" s="610"/>
    </row>
    <row r="45" spans="1:19" ht="12.75" thickTop="1">
      <c r="A45" s="662"/>
      <c r="B45" s="662"/>
      <c r="C45" s="662"/>
      <c r="D45" s="663"/>
      <c r="E45" s="663"/>
      <c r="F45" s="663"/>
      <c r="G45" s="663"/>
      <c r="H45" s="663"/>
      <c r="I45" s="663"/>
      <c r="J45" s="663"/>
      <c r="K45" s="663"/>
      <c r="L45" s="663"/>
      <c r="M45" s="663"/>
      <c r="N45" s="663"/>
      <c r="O45" s="663"/>
      <c r="P45" s="663"/>
      <c r="Q45" s="663"/>
      <c r="R45" s="663"/>
      <c r="S45" s="664"/>
    </row>
    <row r="46" ht="12">
      <c r="P46" s="666"/>
    </row>
    <row r="47" ht="12">
      <c r="C47" s="667"/>
    </row>
    <row r="48" spans="3:18" ht="12">
      <c r="C48" s="662"/>
      <c r="Q48" s="666"/>
      <c r="R48" s="573"/>
    </row>
    <row r="60" ht="12">
      <c r="E60" s="884"/>
    </row>
  </sheetData>
  <sheetProtection/>
  <mergeCells count="27">
    <mergeCell ref="L9:P9"/>
    <mergeCell ref="A20:B22"/>
    <mergeCell ref="A23:C23"/>
    <mergeCell ref="A24:B26"/>
    <mergeCell ref="A27:C27"/>
    <mergeCell ref="A28:B30"/>
    <mergeCell ref="A1:R1"/>
    <mergeCell ref="A5:R5"/>
    <mergeCell ref="A6:R6"/>
    <mergeCell ref="P8:R8"/>
    <mergeCell ref="A9:B10"/>
    <mergeCell ref="Q9:Q10"/>
    <mergeCell ref="R9:R10"/>
    <mergeCell ref="A11:B13"/>
    <mergeCell ref="A14:C14"/>
    <mergeCell ref="A15:B18"/>
    <mergeCell ref="A19:C19"/>
    <mergeCell ref="C9:C10"/>
    <mergeCell ref="D9:E9"/>
    <mergeCell ref="F9:I9"/>
    <mergeCell ref="J9:K9"/>
    <mergeCell ref="A32:B34"/>
    <mergeCell ref="A35:C35"/>
    <mergeCell ref="A36:B42"/>
    <mergeCell ref="A43:C43"/>
    <mergeCell ref="A44:C44"/>
    <mergeCell ref="A31:C3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47"/>
  <sheetViews>
    <sheetView zoomScale="150" zoomScaleNormal="150" zoomScalePageLayoutView="0" workbookViewId="0" topLeftCell="A1">
      <selection activeCell="A1" sqref="A1"/>
      <selection activeCell="A1" sqref="A1:L1"/>
    </sheetView>
  </sheetViews>
  <sheetFormatPr defaultColWidth="9.140625" defaultRowHeight="12.75"/>
  <cols>
    <col min="1" max="1" width="2.00390625" style="574" customWidth="1"/>
    <col min="2" max="2" width="3.140625" style="574" customWidth="1"/>
    <col min="3" max="4" width="9.7109375" style="574" customWidth="1"/>
    <col min="5" max="7" width="1.7109375" style="574" customWidth="1"/>
    <col min="8" max="8" width="9.8515625" style="726" customWidth="1"/>
    <col min="9" max="9" width="8.421875" style="574" customWidth="1"/>
    <col min="10" max="10" width="9.00390625" style="574" customWidth="1"/>
    <col min="11" max="11" width="8.8515625" style="574" customWidth="1"/>
    <col min="12" max="12" width="12.28125" style="574" customWidth="1"/>
    <col min="13" max="13" width="13.57421875" style="938" bestFit="1" customWidth="1"/>
    <col min="14" max="14" width="10.8515625" style="939" bestFit="1" customWidth="1"/>
    <col min="15" max="16384" width="9.140625" style="669" customWidth="1"/>
  </cols>
  <sheetData>
    <row r="1" spans="1:12" ht="18">
      <c r="A1" s="1203">
        <v>17</v>
      </c>
      <c r="B1" s="1203"/>
      <c r="C1" s="1203"/>
      <c r="D1" s="1203"/>
      <c r="E1" s="1203"/>
      <c r="F1" s="1203"/>
      <c r="G1" s="1203"/>
      <c r="H1" s="1203"/>
      <c r="I1" s="1203"/>
      <c r="J1" s="1203"/>
      <c r="K1" s="1203"/>
      <c r="L1" s="1203"/>
    </row>
    <row r="2" spans="1:12" ht="15">
      <c r="A2" s="574" t="s">
        <v>204</v>
      </c>
      <c r="D2" s="578"/>
      <c r="E2" s="578"/>
      <c r="F2" s="578"/>
      <c r="G2" s="578"/>
      <c r="H2" s="897"/>
      <c r="I2" s="578"/>
      <c r="J2" s="578"/>
      <c r="K2" s="578"/>
      <c r="L2" s="578"/>
    </row>
    <row r="3" spans="4:12" ht="15">
      <c r="D3" s="578"/>
      <c r="E3" s="578"/>
      <c r="F3" s="578"/>
      <c r="G3" s="578"/>
      <c r="H3" s="897"/>
      <c r="I3" s="578"/>
      <c r="J3" s="578"/>
      <c r="K3" s="578"/>
      <c r="L3" s="578"/>
    </row>
    <row r="4" spans="4:12" ht="22.5" customHeight="1">
      <c r="D4" s="578"/>
      <c r="E4" s="578"/>
      <c r="F4" s="578"/>
      <c r="G4" s="578"/>
      <c r="H4" s="897"/>
      <c r="I4" s="578"/>
      <c r="J4" s="578"/>
      <c r="K4" s="578"/>
      <c r="L4" s="578"/>
    </row>
    <row r="5" spans="1:12" ht="23.25">
      <c r="A5" s="1156" t="s">
        <v>291</v>
      </c>
      <c r="B5" s="1156"/>
      <c r="C5" s="1156"/>
      <c r="D5" s="1156"/>
      <c r="E5" s="1156"/>
      <c r="F5" s="1156"/>
      <c r="G5" s="1156"/>
      <c r="H5" s="1156"/>
      <c r="I5" s="1156"/>
      <c r="J5" s="1156"/>
      <c r="K5" s="1156"/>
      <c r="L5" s="1156"/>
    </row>
    <row r="6" spans="1:12" ht="19.5" customHeight="1">
      <c r="A6" s="1204" t="s">
        <v>292</v>
      </c>
      <c r="B6" s="1204"/>
      <c r="C6" s="1204"/>
      <c r="D6" s="1204"/>
      <c r="E6" s="1204"/>
      <c r="F6" s="1204"/>
      <c r="G6" s="1204"/>
      <c r="H6" s="1204"/>
      <c r="I6" s="1204"/>
      <c r="J6" s="1204"/>
      <c r="K6" s="1204"/>
      <c r="L6" s="1204"/>
    </row>
    <row r="7" spans="1:12" ht="19.5" customHeight="1" thickBot="1">
      <c r="A7" s="940"/>
      <c r="B7" s="940"/>
      <c r="C7" s="940"/>
      <c r="D7" s="940"/>
      <c r="E7" s="940"/>
      <c r="F7" s="940"/>
      <c r="G7" s="940"/>
      <c r="H7" s="940"/>
      <c r="I7" s="940"/>
      <c r="J7" s="941"/>
      <c r="K7" s="942"/>
      <c r="L7" s="942" t="s">
        <v>240</v>
      </c>
    </row>
    <row r="8" spans="1:14" s="668" customFormat="1" ht="21.75" customHeight="1" thickTop="1">
      <c r="A8" s="1161" t="s">
        <v>293</v>
      </c>
      <c r="B8" s="1165"/>
      <c r="C8" s="1159" t="s">
        <v>242</v>
      </c>
      <c r="D8" s="1207" t="s">
        <v>294</v>
      </c>
      <c r="E8" s="1209" t="s">
        <v>295</v>
      </c>
      <c r="F8" s="1209" t="s">
        <v>296</v>
      </c>
      <c r="G8" s="1209" t="s">
        <v>297</v>
      </c>
      <c r="H8" s="1211" t="s">
        <v>333</v>
      </c>
      <c r="I8" s="1209" t="s">
        <v>298</v>
      </c>
      <c r="J8" s="1186" t="s">
        <v>299</v>
      </c>
      <c r="K8" s="1188" t="s">
        <v>300</v>
      </c>
      <c r="L8" s="1190" t="s">
        <v>301</v>
      </c>
      <c r="M8" s="938"/>
      <c r="N8" s="939"/>
    </row>
    <row r="9" spans="1:14" s="668" customFormat="1" ht="25.5" customHeight="1" thickBot="1">
      <c r="A9" s="1205"/>
      <c r="B9" s="1206"/>
      <c r="C9" s="1160"/>
      <c r="D9" s="1208"/>
      <c r="E9" s="1210"/>
      <c r="F9" s="1210"/>
      <c r="G9" s="1210"/>
      <c r="H9" s="1212"/>
      <c r="I9" s="1210"/>
      <c r="J9" s="1187"/>
      <c r="K9" s="1189"/>
      <c r="L9" s="1191"/>
      <c r="M9" s="1201" t="s">
        <v>365</v>
      </c>
      <c r="N9" s="1202"/>
    </row>
    <row r="10" spans="1:12" ht="16.5" customHeight="1" thickTop="1">
      <c r="A10" s="1170" t="s">
        <v>259</v>
      </c>
      <c r="B10" s="1171"/>
      <c r="C10" s="670" t="s">
        <v>259</v>
      </c>
      <c r="D10" s="671">
        <f>43.355+45</f>
        <v>88.35499999999999</v>
      </c>
      <c r="E10" s="886">
        <v>0</v>
      </c>
      <c r="F10" s="672">
        <v>46642</v>
      </c>
      <c r="G10" s="672">
        <v>24500</v>
      </c>
      <c r="H10" s="898">
        <f>SUM(E10:G10)</f>
        <v>71142</v>
      </c>
      <c r="I10" s="672">
        <v>3876</v>
      </c>
      <c r="J10" s="673">
        <v>905</v>
      </c>
      <c r="K10" s="674">
        <v>0</v>
      </c>
      <c r="L10" s="894">
        <f>+D10+H10+I10+J10+K10</f>
        <v>76011.355</v>
      </c>
    </row>
    <row r="11" spans="1:12" ht="16.5" customHeight="1">
      <c r="A11" s="1172"/>
      <c r="B11" s="1173"/>
      <c r="C11" s="589" t="s">
        <v>260</v>
      </c>
      <c r="D11" s="675">
        <v>1295.806</v>
      </c>
      <c r="E11" s="526">
        <v>0</v>
      </c>
      <c r="F11" s="526">
        <v>216</v>
      </c>
      <c r="G11" s="526">
        <v>155</v>
      </c>
      <c r="H11" s="519">
        <f aca="true" t="shared" si="0" ref="H11:H39">SUM(E11:G11)</f>
        <v>371</v>
      </c>
      <c r="I11" s="526">
        <v>0</v>
      </c>
      <c r="J11" s="676">
        <v>3250</v>
      </c>
      <c r="K11" s="676">
        <v>0</v>
      </c>
      <c r="L11" s="895">
        <f>+D11+H11+I11+J11+K11</f>
        <v>4916.8060000000005</v>
      </c>
    </row>
    <row r="12" spans="1:12" ht="16.5" customHeight="1" thickBot="1">
      <c r="A12" s="1174"/>
      <c r="B12" s="1175"/>
      <c r="C12" s="677" t="s">
        <v>261</v>
      </c>
      <c r="D12" s="555">
        <f>400+152+199</f>
        <v>751</v>
      </c>
      <c r="E12" s="678">
        <v>9090</v>
      </c>
      <c r="F12" s="678">
        <v>0</v>
      </c>
      <c r="G12" s="678">
        <v>85000</v>
      </c>
      <c r="H12" s="519">
        <f t="shared" si="0"/>
        <v>94090</v>
      </c>
      <c r="I12" s="678">
        <v>0</v>
      </c>
      <c r="J12" s="679">
        <v>3380</v>
      </c>
      <c r="K12" s="679">
        <v>0</v>
      </c>
      <c r="L12" s="896">
        <f>+D12+H12+I12+J12+K12</f>
        <v>98221</v>
      </c>
    </row>
    <row r="13" spans="1:14" ht="17.25" customHeight="1" thickBot="1" thickTop="1">
      <c r="A13" s="1192" t="s">
        <v>262</v>
      </c>
      <c r="B13" s="1193"/>
      <c r="C13" s="1194"/>
      <c r="D13" s="680">
        <f aca="true" t="shared" si="1" ref="D13:K13">SUM(D10:D12)</f>
        <v>2135.161</v>
      </c>
      <c r="E13" s="681">
        <f t="shared" si="1"/>
        <v>9090</v>
      </c>
      <c r="F13" s="681">
        <f t="shared" si="1"/>
        <v>46858</v>
      </c>
      <c r="G13" s="681">
        <f t="shared" si="1"/>
        <v>109655</v>
      </c>
      <c r="H13" s="899">
        <f t="shared" si="1"/>
        <v>165603</v>
      </c>
      <c r="I13" s="681">
        <f t="shared" si="1"/>
        <v>3876</v>
      </c>
      <c r="J13" s="682">
        <f t="shared" si="1"/>
        <v>7535</v>
      </c>
      <c r="K13" s="682">
        <f t="shared" si="1"/>
        <v>0</v>
      </c>
      <c r="L13" s="683">
        <f>SUM(L10:L12)</f>
        <v>179149.161</v>
      </c>
      <c r="M13" s="938">
        <f>'16'!$R$14</f>
        <v>65935</v>
      </c>
      <c r="N13" s="939">
        <f>+L13+M13</f>
        <v>245084.161</v>
      </c>
    </row>
    <row r="14" spans="1:12" ht="21" customHeight="1" thickTop="1">
      <c r="A14" s="1176" t="s">
        <v>263</v>
      </c>
      <c r="B14" s="1177"/>
      <c r="C14" s="684" t="s">
        <v>264</v>
      </c>
      <c r="D14" s="675">
        <f>535.857+1120+1655</f>
        <v>3310.857</v>
      </c>
      <c r="E14" s="526">
        <v>117580</v>
      </c>
      <c r="F14" s="526">
        <v>11136</v>
      </c>
      <c r="G14" s="526">
        <v>83847</v>
      </c>
      <c r="H14" s="519">
        <f t="shared" si="0"/>
        <v>212563</v>
      </c>
      <c r="I14" s="553">
        <v>3082.5</v>
      </c>
      <c r="J14" s="676">
        <v>3745</v>
      </c>
      <c r="K14" s="676">
        <v>0</v>
      </c>
      <c r="L14" s="895">
        <f>+D14+H14+I14+J14+K14</f>
        <v>222701.357</v>
      </c>
    </row>
    <row r="15" spans="1:12" ht="21" customHeight="1">
      <c r="A15" s="1178"/>
      <c r="B15" s="1179"/>
      <c r="C15" s="684" t="s">
        <v>265</v>
      </c>
      <c r="D15" s="675">
        <v>0</v>
      </c>
      <c r="E15" s="526">
        <v>0</v>
      </c>
      <c r="F15" s="553">
        <v>23.5</v>
      </c>
      <c r="G15" s="526">
        <v>0</v>
      </c>
      <c r="H15" s="900">
        <f t="shared" si="0"/>
        <v>23.5</v>
      </c>
      <c r="I15" s="526">
        <v>0</v>
      </c>
      <c r="J15" s="676">
        <v>1670</v>
      </c>
      <c r="K15" s="676">
        <v>0</v>
      </c>
      <c r="L15" s="895">
        <f>+D15+H15+I15+J15+K15</f>
        <v>1693.5</v>
      </c>
    </row>
    <row r="16" spans="1:12" ht="21" customHeight="1">
      <c r="A16" s="1178"/>
      <c r="B16" s="1179"/>
      <c r="C16" s="684" t="s">
        <v>266</v>
      </c>
      <c r="D16" s="675">
        <v>0</v>
      </c>
      <c r="E16" s="526">
        <v>0</v>
      </c>
      <c r="F16" s="526">
        <v>565</v>
      </c>
      <c r="G16" s="526">
        <v>0</v>
      </c>
      <c r="H16" s="519">
        <f t="shared" si="0"/>
        <v>565</v>
      </c>
      <c r="I16" s="526">
        <v>0</v>
      </c>
      <c r="J16" s="676">
        <v>0</v>
      </c>
      <c r="K16" s="676">
        <v>0</v>
      </c>
      <c r="L16" s="895">
        <f>+D16+H16+I16+J16+K16</f>
        <v>565</v>
      </c>
    </row>
    <row r="17" spans="1:12" ht="15.75" thickBot="1">
      <c r="A17" s="1180"/>
      <c r="B17" s="1181"/>
      <c r="C17" s="685" t="s">
        <v>267</v>
      </c>
      <c r="D17" s="518">
        <v>6</v>
      </c>
      <c r="E17" s="526">
        <v>0</v>
      </c>
      <c r="F17" s="526">
        <v>104</v>
      </c>
      <c r="G17" s="526">
        <v>0</v>
      </c>
      <c r="H17" s="519">
        <f t="shared" si="0"/>
        <v>104</v>
      </c>
      <c r="I17" s="526">
        <v>156</v>
      </c>
      <c r="J17" s="676">
        <v>0</v>
      </c>
      <c r="K17" s="676">
        <v>0</v>
      </c>
      <c r="L17" s="895">
        <f>+D17+H17+I17+J17+K17</f>
        <v>266</v>
      </c>
    </row>
    <row r="18" spans="1:14" ht="16.5" thickBot="1" thickTop="1">
      <c r="A18" s="1192" t="s">
        <v>262</v>
      </c>
      <c r="B18" s="1193"/>
      <c r="C18" s="1194"/>
      <c r="D18" s="680">
        <f aca="true" t="shared" si="2" ref="D18:K18">SUM(D14:D17)</f>
        <v>3316.857</v>
      </c>
      <c r="E18" s="681">
        <f t="shared" si="2"/>
        <v>117580</v>
      </c>
      <c r="F18" s="681">
        <f t="shared" si="2"/>
        <v>11828.5</v>
      </c>
      <c r="G18" s="681">
        <f t="shared" si="2"/>
        <v>83847</v>
      </c>
      <c r="H18" s="899">
        <f t="shared" si="2"/>
        <v>213255.5</v>
      </c>
      <c r="I18" s="686">
        <f t="shared" si="2"/>
        <v>3238.5</v>
      </c>
      <c r="J18" s="682">
        <f t="shared" si="2"/>
        <v>5415</v>
      </c>
      <c r="K18" s="682">
        <f t="shared" si="2"/>
        <v>0</v>
      </c>
      <c r="L18" s="683">
        <f>SUM(L14:L17)</f>
        <v>225225.857</v>
      </c>
      <c r="M18" s="938">
        <f>'16'!$R$19</f>
        <v>86260</v>
      </c>
      <c r="N18" s="939">
        <f>+L18+M18</f>
        <v>311485.85699999996</v>
      </c>
    </row>
    <row r="19" spans="1:12" ht="15.75" thickTop="1">
      <c r="A19" s="1195" t="s">
        <v>268</v>
      </c>
      <c r="B19" s="1196"/>
      <c r="C19" s="670" t="s">
        <v>269</v>
      </c>
      <c r="D19" s="687">
        <v>0</v>
      </c>
      <c r="E19" s="688">
        <v>0</v>
      </c>
      <c r="F19" s="689">
        <v>2528</v>
      </c>
      <c r="G19" s="688">
        <v>0</v>
      </c>
      <c r="H19" s="898">
        <f t="shared" si="0"/>
        <v>2528</v>
      </c>
      <c r="I19" s="688">
        <v>0</v>
      </c>
      <c r="J19" s="690">
        <v>0</v>
      </c>
      <c r="K19" s="690">
        <v>0</v>
      </c>
      <c r="L19" s="894">
        <f>+D19+H19+I19+J19+K19</f>
        <v>2528</v>
      </c>
    </row>
    <row r="20" spans="1:12" ht="15">
      <c r="A20" s="1197"/>
      <c r="B20" s="1198"/>
      <c r="C20" s="589" t="s">
        <v>268</v>
      </c>
      <c r="D20" s="691">
        <v>0</v>
      </c>
      <c r="E20" s="553">
        <v>0</v>
      </c>
      <c r="F20" s="526">
        <v>150</v>
      </c>
      <c r="G20" s="553">
        <v>0</v>
      </c>
      <c r="H20" s="519">
        <f t="shared" si="0"/>
        <v>150</v>
      </c>
      <c r="I20" s="553">
        <v>0</v>
      </c>
      <c r="J20" s="692">
        <v>0</v>
      </c>
      <c r="K20" s="692">
        <v>0</v>
      </c>
      <c r="L20" s="895">
        <f>+D20+H20+I20+J20+K20</f>
        <v>150</v>
      </c>
    </row>
    <row r="21" spans="1:12" ht="15.75" thickBot="1">
      <c r="A21" s="1199"/>
      <c r="B21" s="1200"/>
      <c r="C21" s="677" t="s">
        <v>270</v>
      </c>
      <c r="D21" s="693">
        <v>0</v>
      </c>
      <c r="E21" s="694">
        <v>0</v>
      </c>
      <c r="F21" s="678">
        <v>88</v>
      </c>
      <c r="G21" s="694">
        <v>0</v>
      </c>
      <c r="H21" s="901">
        <f t="shared" si="0"/>
        <v>88</v>
      </c>
      <c r="I21" s="694">
        <v>0</v>
      </c>
      <c r="J21" s="695">
        <v>0</v>
      </c>
      <c r="K21" s="695">
        <v>0</v>
      </c>
      <c r="L21" s="896">
        <f>+D21+H21+I21+J21+K21</f>
        <v>88</v>
      </c>
    </row>
    <row r="22" spans="1:14" ht="16.5" thickBot="1" thickTop="1">
      <c r="A22" s="1192" t="s">
        <v>262</v>
      </c>
      <c r="B22" s="1193"/>
      <c r="C22" s="1194"/>
      <c r="D22" s="681" t="s">
        <v>105</v>
      </c>
      <c r="E22" s="681" t="s">
        <v>105</v>
      </c>
      <c r="F22" s="696">
        <f>SUM(F19:F21)</f>
        <v>2766</v>
      </c>
      <c r="G22" s="681" t="s">
        <v>105</v>
      </c>
      <c r="H22" s="902">
        <f>SUM(H19:H21)</f>
        <v>2766</v>
      </c>
      <c r="I22" s="681" t="s">
        <v>105</v>
      </c>
      <c r="J22" s="681" t="s">
        <v>105</v>
      </c>
      <c r="K22" s="681">
        <v>0</v>
      </c>
      <c r="L22" s="697">
        <f>SUM(L19:L21)</f>
        <v>2766</v>
      </c>
      <c r="M22" s="938">
        <f>'16'!$R$23</f>
        <v>50732</v>
      </c>
      <c r="N22" s="939">
        <f>+L22+M22</f>
        <v>53498</v>
      </c>
    </row>
    <row r="23" spans="1:12" ht="15.75" thickTop="1">
      <c r="A23" s="1170" t="s">
        <v>271</v>
      </c>
      <c r="B23" s="1171"/>
      <c r="C23" s="670" t="s">
        <v>272</v>
      </c>
      <c r="D23" s="698">
        <f>99.339+315+45</f>
        <v>459.339</v>
      </c>
      <c r="E23" s="689">
        <v>194</v>
      </c>
      <c r="F23" s="689">
        <v>3856</v>
      </c>
      <c r="G23" s="688">
        <v>0</v>
      </c>
      <c r="H23" s="898">
        <f t="shared" si="0"/>
        <v>4050</v>
      </c>
      <c r="I23" s="688">
        <v>0</v>
      </c>
      <c r="J23" s="688">
        <v>0</v>
      </c>
      <c r="K23" s="699">
        <v>0</v>
      </c>
      <c r="L23" s="894">
        <f>+D23+H23+I23+J23+K23</f>
        <v>4509.339</v>
      </c>
    </row>
    <row r="24" spans="1:12" ht="15">
      <c r="A24" s="1172"/>
      <c r="B24" s="1173"/>
      <c r="C24" s="589" t="s">
        <v>273</v>
      </c>
      <c r="D24" s="700">
        <f>1481.308+49+16</f>
        <v>1546.308</v>
      </c>
      <c r="E24" s="526">
        <f>8016+16000</f>
        <v>24016</v>
      </c>
      <c r="F24" s="526">
        <v>30222</v>
      </c>
      <c r="G24" s="553">
        <v>0</v>
      </c>
      <c r="H24" s="519">
        <f t="shared" si="0"/>
        <v>54238</v>
      </c>
      <c r="I24" s="526">
        <v>12356</v>
      </c>
      <c r="J24" s="676">
        <v>3950</v>
      </c>
      <c r="K24" s="701">
        <v>1950</v>
      </c>
      <c r="L24" s="895">
        <f>+D24+H24+I24+J24+K24</f>
        <v>74040.30799999999</v>
      </c>
    </row>
    <row r="25" spans="1:12" ht="15.75" thickBot="1">
      <c r="A25" s="1174"/>
      <c r="B25" s="1175"/>
      <c r="C25" s="677" t="s">
        <v>274</v>
      </c>
      <c r="D25" s="555">
        <v>0</v>
      </c>
      <c r="E25" s="678">
        <v>0</v>
      </c>
      <c r="F25" s="678">
        <v>5</v>
      </c>
      <c r="G25" s="694">
        <v>0</v>
      </c>
      <c r="H25" s="901">
        <f t="shared" si="0"/>
        <v>5</v>
      </c>
      <c r="I25" s="694">
        <v>0</v>
      </c>
      <c r="J25" s="694">
        <v>0</v>
      </c>
      <c r="K25" s="679">
        <v>0</v>
      </c>
      <c r="L25" s="896">
        <f>+D25+H25+I25+J25+K25</f>
        <v>5</v>
      </c>
    </row>
    <row r="26" spans="1:14" ht="16.5" thickBot="1" thickTop="1">
      <c r="A26" s="1167" t="s">
        <v>262</v>
      </c>
      <c r="B26" s="1168"/>
      <c r="C26" s="1169"/>
      <c r="D26" s="680">
        <f>SUM(D23:D25)</f>
        <v>2005.647</v>
      </c>
      <c r="E26" s="702">
        <f>SUM(E23:E25)</f>
        <v>24210</v>
      </c>
      <c r="F26" s="703">
        <f>SUM(F23:F25)</f>
        <v>34083</v>
      </c>
      <c r="G26" s="703" t="s">
        <v>105</v>
      </c>
      <c r="H26" s="903">
        <f>SUM(H23:H25)</f>
        <v>58293</v>
      </c>
      <c r="I26" s="703">
        <f>SUM(I23:I25)</f>
        <v>12356</v>
      </c>
      <c r="J26" s="704">
        <f>SUM(J23:J25)</f>
        <v>3950</v>
      </c>
      <c r="K26" s="705">
        <f>SUM(K23:K25)</f>
        <v>1950</v>
      </c>
      <c r="L26" s="697">
        <f>SUM(L23:L25)</f>
        <v>78554.647</v>
      </c>
      <c r="M26" s="938">
        <f>'16'!$R$27</f>
        <v>41962</v>
      </c>
      <c r="N26" s="939">
        <f>+L26+M26</f>
        <v>120516.647</v>
      </c>
    </row>
    <row r="27" spans="1:12" ht="16.5" thickBot="1" thickTop="1">
      <c r="A27" s="1170" t="s">
        <v>275</v>
      </c>
      <c r="B27" s="1171"/>
      <c r="C27" s="706" t="s">
        <v>276</v>
      </c>
      <c r="D27" s="707">
        <v>0</v>
      </c>
      <c r="E27" s="689">
        <v>0</v>
      </c>
      <c r="F27" s="689">
        <v>0</v>
      </c>
      <c r="G27" s="689">
        <v>0</v>
      </c>
      <c r="H27" s="898">
        <f t="shared" si="0"/>
        <v>0</v>
      </c>
      <c r="I27" s="689">
        <v>100</v>
      </c>
      <c r="J27" s="699">
        <v>0</v>
      </c>
      <c r="K27" s="708">
        <v>12</v>
      </c>
      <c r="L27" s="894">
        <f>+D27+H27+I27+J27+K27</f>
        <v>112</v>
      </c>
    </row>
    <row r="28" spans="1:14" ht="16.5" thickBot="1" thickTop="1">
      <c r="A28" s="1167" t="s">
        <v>262</v>
      </c>
      <c r="B28" s="1168"/>
      <c r="C28" s="1169"/>
      <c r="D28" s="709" t="s">
        <v>105</v>
      </c>
      <c r="E28" s="703" t="s">
        <v>105</v>
      </c>
      <c r="F28" s="709" t="s">
        <v>105</v>
      </c>
      <c r="G28" s="709" t="s">
        <v>105</v>
      </c>
      <c r="H28" s="903">
        <f>SUM(H27:H27)</f>
        <v>0</v>
      </c>
      <c r="I28" s="703">
        <f>SUM(I27:I27)</f>
        <v>100</v>
      </c>
      <c r="J28" s="708" t="s">
        <v>105</v>
      </c>
      <c r="K28" s="708">
        <f>SUM(K27)</f>
        <v>12</v>
      </c>
      <c r="L28" s="697">
        <f>SUM(L27)</f>
        <v>112</v>
      </c>
      <c r="M28" s="938">
        <f>'16'!$R$31</f>
        <v>40409</v>
      </c>
      <c r="N28" s="939">
        <f>+L28+M28</f>
        <v>40521</v>
      </c>
    </row>
    <row r="29" spans="1:12" ht="15.75" thickTop="1">
      <c r="A29" s="1170" t="s">
        <v>278</v>
      </c>
      <c r="B29" s="1171"/>
      <c r="C29" s="670" t="s">
        <v>279</v>
      </c>
      <c r="D29" s="710">
        <v>0</v>
      </c>
      <c r="E29" s="689">
        <v>0</v>
      </c>
      <c r="F29" s="689">
        <v>3503</v>
      </c>
      <c r="G29" s="688">
        <v>31012.5</v>
      </c>
      <c r="H29" s="904">
        <f t="shared" si="0"/>
        <v>34515.5</v>
      </c>
      <c r="I29" s="689">
        <v>0</v>
      </c>
      <c r="J29" s="689">
        <v>0</v>
      </c>
      <c r="K29" s="699">
        <v>0</v>
      </c>
      <c r="L29" s="894">
        <f>+D29+H29+I29+J29+K29</f>
        <v>34515.5</v>
      </c>
    </row>
    <row r="30" spans="1:12" ht="15">
      <c r="A30" s="1172"/>
      <c r="B30" s="1173"/>
      <c r="C30" s="589" t="s">
        <v>280</v>
      </c>
      <c r="D30" s="711">
        <v>0</v>
      </c>
      <c r="E30" s="526">
        <v>0</v>
      </c>
      <c r="F30" s="526">
        <v>0</v>
      </c>
      <c r="G30" s="526">
        <v>0</v>
      </c>
      <c r="H30" s="519">
        <f t="shared" si="0"/>
        <v>0</v>
      </c>
      <c r="I30" s="526">
        <v>0</v>
      </c>
      <c r="J30" s="526">
        <v>0</v>
      </c>
      <c r="K30" s="676">
        <v>0</v>
      </c>
      <c r="L30" s="895">
        <f>+D30+H30+I30+J30+K30</f>
        <v>0</v>
      </c>
    </row>
    <row r="31" spans="1:12" ht="15.75" thickBot="1">
      <c r="A31" s="1174"/>
      <c r="B31" s="1175"/>
      <c r="C31" s="677" t="s">
        <v>281</v>
      </c>
      <c r="D31" s="555">
        <v>8</v>
      </c>
      <c r="E31" s="678">
        <v>1167</v>
      </c>
      <c r="F31" s="678">
        <v>1881</v>
      </c>
      <c r="G31" s="678">
        <v>6416</v>
      </c>
      <c r="H31" s="519">
        <f t="shared" si="0"/>
        <v>9464</v>
      </c>
      <c r="I31" s="526">
        <v>0</v>
      </c>
      <c r="J31" s="542">
        <v>25</v>
      </c>
      <c r="K31" s="701">
        <v>30</v>
      </c>
      <c r="L31" s="896">
        <f>+D31+H31+I31+J31+K31</f>
        <v>9527</v>
      </c>
    </row>
    <row r="32" spans="1:14" ht="16.5" thickBot="1" thickTop="1">
      <c r="A32" s="1167" t="s">
        <v>262</v>
      </c>
      <c r="B32" s="1168"/>
      <c r="C32" s="1169"/>
      <c r="D32" s="712">
        <f>SUM(D29:D31)</f>
        <v>8</v>
      </c>
      <c r="E32" s="703">
        <f>SUM(E29:E31)</f>
        <v>1167</v>
      </c>
      <c r="F32" s="703">
        <f>SUM(F29:F31)</f>
        <v>5384</v>
      </c>
      <c r="G32" s="713">
        <f>SUM(G29:G31)</f>
        <v>37428.5</v>
      </c>
      <c r="H32" s="905">
        <f>SUM(H29:H31)</f>
        <v>43979.5</v>
      </c>
      <c r="I32" s="709" t="s">
        <v>105</v>
      </c>
      <c r="J32" s="709">
        <f>SUM(J29:J31)</f>
        <v>25</v>
      </c>
      <c r="K32" s="705">
        <f>SUM(K29:K31)</f>
        <v>30</v>
      </c>
      <c r="L32" s="714">
        <f>SUM(L29:L31)</f>
        <v>44042.5</v>
      </c>
      <c r="M32" s="938">
        <f>'16'!$R$35</f>
        <v>31717</v>
      </c>
      <c r="N32" s="939">
        <f>+L32+M32</f>
        <v>75759.5</v>
      </c>
    </row>
    <row r="33" spans="1:12" ht="15.75" customHeight="1" thickTop="1">
      <c r="A33" s="1176" t="s">
        <v>282</v>
      </c>
      <c r="B33" s="1177"/>
      <c r="C33" s="943" t="s">
        <v>283</v>
      </c>
      <c r="D33" s="707">
        <v>0</v>
      </c>
      <c r="E33" s="689">
        <v>0</v>
      </c>
      <c r="F33" s="689">
        <v>0</v>
      </c>
      <c r="G33" s="689">
        <v>0</v>
      </c>
      <c r="H33" s="898">
        <f t="shared" si="0"/>
        <v>0</v>
      </c>
      <c r="I33" s="689">
        <v>0</v>
      </c>
      <c r="J33" s="689">
        <v>0</v>
      </c>
      <c r="K33" s="699">
        <v>0</v>
      </c>
      <c r="L33" s="894">
        <f aca="true" t="shared" si="3" ref="L33:L39">+D33+H33+I33+J33+K33</f>
        <v>0</v>
      </c>
    </row>
    <row r="34" spans="1:12" ht="15.75" customHeight="1">
      <c r="A34" s="1178"/>
      <c r="B34" s="1179"/>
      <c r="C34" s="715" t="s">
        <v>284</v>
      </c>
      <c r="D34" s="518">
        <v>6</v>
      </c>
      <c r="E34" s="526">
        <v>62</v>
      </c>
      <c r="F34" s="676">
        <v>0</v>
      </c>
      <c r="G34" s="676">
        <v>0</v>
      </c>
      <c r="H34" s="522">
        <f t="shared" si="0"/>
        <v>62</v>
      </c>
      <c r="I34" s="676">
        <v>0</v>
      </c>
      <c r="J34" s="676">
        <v>0</v>
      </c>
      <c r="K34" s="676">
        <v>0</v>
      </c>
      <c r="L34" s="895">
        <f t="shared" si="3"/>
        <v>68</v>
      </c>
    </row>
    <row r="35" spans="1:12" ht="15.75" customHeight="1">
      <c r="A35" s="1178"/>
      <c r="B35" s="1179"/>
      <c r="C35" s="715" t="s">
        <v>285</v>
      </c>
      <c r="D35" s="518">
        <v>116</v>
      </c>
      <c r="E35" s="526">
        <v>5090</v>
      </c>
      <c r="F35" s="526">
        <v>270</v>
      </c>
      <c r="G35" s="526">
        <v>197</v>
      </c>
      <c r="H35" s="519">
        <f t="shared" si="0"/>
        <v>5557</v>
      </c>
      <c r="I35" s="526">
        <v>240</v>
      </c>
      <c r="J35" s="553">
        <v>677.5</v>
      </c>
      <c r="K35" s="701">
        <v>480</v>
      </c>
      <c r="L35" s="895">
        <f t="shared" si="3"/>
        <v>7070.5</v>
      </c>
    </row>
    <row r="36" spans="1:12" ht="15.75" customHeight="1">
      <c r="A36" s="1178"/>
      <c r="B36" s="1179"/>
      <c r="C36" s="715" t="s">
        <v>286</v>
      </c>
      <c r="D36" s="518">
        <v>0</v>
      </c>
      <c r="E36" s="526">
        <v>190</v>
      </c>
      <c r="F36" s="526">
        <v>0</v>
      </c>
      <c r="G36" s="526">
        <v>0</v>
      </c>
      <c r="H36" s="519">
        <f t="shared" si="0"/>
        <v>190</v>
      </c>
      <c r="I36" s="526">
        <v>0</v>
      </c>
      <c r="J36" s="676">
        <v>0</v>
      </c>
      <c r="K36" s="676">
        <v>0</v>
      </c>
      <c r="L36" s="895">
        <f t="shared" si="3"/>
        <v>190</v>
      </c>
    </row>
    <row r="37" spans="1:12" ht="15.75" customHeight="1">
      <c r="A37" s="1178"/>
      <c r="B37" s="1179"/>
      <c r="C37" s="715" t="s">
        <v>287</v>
      </c>
      <c r="D37" s="518">
        <v>0</v>
      </c>
      <c r="E37" s="526">
        <v>0</v>
      </c>
      <c r="F37" s="526">
        <v>0</v>
      </c>
      <c r="G37" s="526">
        <v>0</v>
      </c>
      <c r="H37" s="519">
        <f t="shared" si="0"/>
        <v>0</v>
      </c>
      <c r="I37" s="526">
        <v>0</v>
      </c>
      <c r="J37" s="526">
        <v>0</v>
      </c>
      <c r="K37" s="676">
        <v>0</v>
      </c>
      <c r="L37" s="895">
        <f t="shared" si="3"/>
        <v>0</v>
      </c>
    </row>
    <row r="38" spans="1:12" ht="15.75" customHeight="1">
      <c r="A38" s="1178"/>
      <c r="B38" s="1179"/>
      <c r="C38" s="715" t="s">
        <v>288</v>
      </c>
      <c r="D38" s="518">
        <v>0</v>
      </c>
      <c r="E38" s="526">
        <v>0</v>
      </c>
      <c r="F38" s="526">
        <v>0</v>
      </c>
      <c r="G38" s="526">
        <v>0</v>
      </c>
      <c r="H38" s="519">
        <f t="shared" si="0"/>
        <v>0</v>
      </c>
      <c r="I38" s="542">
        <v>28</v>
      </c>
      <c r="J38" s="676">
        <v>0</v>
      </c>
      <c r="K38" s="676">
        <v>0</v>
      </c>
      <c r="L38" s="895">
        <f t="shared" si="3"/>
        <v>28</v>
      </c>
    </row>
    <row r="39" spans="1:12" ht="15.75" customHeight="1" thickBot="1">
      <c r="A39" s="1180"/>
      <c r="B39" s="1181"/>
      <c r="C39" s="716" t="s">
        <v>289</v>
      </c>
      <c r="D39" s="555">
        <v>0</v>
      </c>
      <c r="E39" s="678">
        <v>2540</v>
      </c>
      <c r="F39" s="678">
        <v>0</v>
      </c>
      <c r="G39" s="678">
        <v>0</v>
      </c>
      <c r="H39" s="901">
        <f t="shared" si="0"/>
        <v>2540</v>
      </c>
      <c r="I39" s="678">
        <v>0</v>
      </c>
      <c r="J39" s="678">
        <v>0</v>
      </c>
      <c r="K39" s="676">
        <v>0</v>
      </c>
      <c r="L39" s="896">
        <f t="shared" si="3"/>
        <v>2540</v>
      </c>
    </row>
    <row r="40" spans="1:14" ht="17.25" customHeight="1" thickBot="1" thickTop="1">
      <c r="A40" s="1167" t="s">
        <v>262</v>
      </c>
      <c r="B40" s="1168"/>
      <c r="C40" s="1182"/>
      <c r="D40" s="717">
        <f aca="true" t="shared" si="4" ref="D40:L40">SUM(D33:D39)</f>
        <v>122</v>
      </c>
      <c r="E40" s="703">
        <f t="shared" si="4"/>
        <v>7882</v>
      </c>
      <c r="F40" s="703">
        <f t="shared" si="4"/>
        <v>270</v>
      </c>
      <c r="G40" s="703">
        <f t="shared" si="4"/>
        <v>197</v>
      </c>
      <c r="H40" s="903">
        <f t="shared" si="4"/>
        <v>8349</v>
      </c>
      <c r="I40" s="703">
        <f t="shared" si="4"/>
        <v>268</v>
      </c>
      <c r="J40" s="718">
        <f t="shared" si="4"/>
        <v>677.5</v>
      </c>
      <c r="K40" s="705">
        <f t="shared" si="4"/>
        <v>480</v>
      </c>
      <c r="L40" s="714">
        <f t="shared" si="4"/>
        <v>9896.5</v>
      </c>
      <c r="M40" s="938">
        <f>'16'!$R$43</f>
        <v>32538</v>
      </c>
      <c r="N40" s="939">
        <f>+L40+M40</f>
        <v>42434.5</v>
      </c>
    </row>
    <row r="41" spans="1:14" ht="17.25" customHeight="1" thickBot="1" thickTop="1">
      <c r="A41" s="1183" t="s">
        <v>290</v>
      </c>
      <c r="B41" s="1184"/>
      <c r="C41" s="1185"/>
      <c r="D41" s="719">
        <f aca="true" t="shared" si="5" ref="D41:K41">SUM(D40,D32,D28,D26,D22,D18,D13)</f>
        <v>7587.665</v>
      </c>
      <c r="E41" s="849">
        <f t="shared" si="5"/>
        <v>159929</v>
      </c>
      <c r="F41" s="850">
        <f t="shared" si="5"/>
        <v>101189.5</v>
      </c>
      <c r="G41" s="850">
        <f t="shared" si="5"/>
        <v>231127.5</v>
      </c>
      <c r="H41" s="751">
        <f t="shared" si="5"/>
        <v>492246</v>
      </c>
      <c r="I41" s="694">
        <f t="shared" si="5"/>
        <v>19838.5</v>
      </c>
      <c r="J41" s="695">
        <f t="shared" si="5"/>
        <v>17602.5</v>
      </c>
      <c r="K41" s="720">
        <f t="shared" si="5"/>
        <v>2472</v>
      </c>
      <c r="L41" s="721">
        <f>+D41+H41+I41+J41+K41</f>
        <v>539746.665</v>
      </c>
      <c r="M41" s="938">
        <f>+M13+M18+M22+M26+M28+M32+M40</f>
        <v>349553</v>
      </c>
      <c r="N41" s="939">
        <f>+L41+M41</f>
        <v>889299.665</v>
      </c>
    </row>
    <row r="42" spans="1:12" ht="7.5" customHeight="1" thickTop="1">
      <c r="A42" s="722"/>
      <c r="B42" s="722"/>
      <c r="C42" s="722"/>
      <c r="D42" s="722"/>
      <c r="E42" s="722"/>
      <c r="F42" s="722"/>
      <c r="G42" s="663"/>
      <c r="H42" s="906"/>
      <c r="I42" s="663"/>
      <c r="J42" s="663"/>
      <c r="K42" s="663"/>
      <c r="L42" s="663"/>
    </row>
    <row r="43" spans="1:12" ht="15">
      <c r="A43" s="1166" t="s">
        <v>302</v>
      </c>
      <c r="B43" s="1166"/>
      <c r="C43" s="1166"/>
      <c r="D43" s="944"/>
      <c r="E43" s="499"/>
      <c r="F43" s="499"/>
      <c r="G43" s="499"/>
      <c r="H43" s="500"/>
      <c r="I43" s="499"/>
      <c r="J43" s="499"/>
      <c r="K43" s="499"/>
      <c r="L43" s="945"/>
    </row>
    <row r="44" spans="6:12" ht="15.75">
      <c r="F44" s="946">
        <f>+E41+F41+G41</f>
        <v>492246</v>
      </c>
      <c r="L44" s="945"/>
    </row>
    <row r="45" spans="3:12" ht="15">
      <c r="C45" s="580"/>
      <c r="D45" s="947"/>
      <c r="E45" s="947"/>
      <c r="F45" s="947"/>
      <c r="G45" s="947"/>
      <c r="H45" s="947"/>
      <c r="I45" s="947"/>
      <c r="J45" s="947"/>
      <c r="K45" s="947"/>
      <c r="L45" s="947"/>
    </row>
    <row r="47" ht="15">
      <c r="L47" s="499"/>
    </row>
  </sheetData>
  <sheetProtection/>
  <mergeCells count="31">
    <mergeCell ref="F8:F9"/>
    <mergeCell ref="G8:G9"/>
    <mergeCell ref="I8:I9"/>
    <mergeCell ref="H8:H9"/>
    <mergeCell ref="A23:B25"/>
    <mergeCell ref="A26:C26"/>
    <mergeCell ref="M9:N9"/>
    <mergeCell ref="A1:L1"/>
    <mergeCell ref="A5:L5"/>
    <mergeCell ref="A6:L6"/>
    <mergeCell ref="A8:B9"/>
    <mergeCell ref="C8:C9"/>
    <mergeCell ref="D8:D9"/>
    <mergeCell ref="E8:E9"/>
    <mergeCell ref="A27:B27"/>
    <mergeCell ref="J8:J9"/>
    <mergeCell ref="K8:K9"/>
    <mergeCell ref="L8:L9"/>
    <mergeCell ref="A10:B12"/>
    <mergeCell ref="A13:C13"/>
    <mergeCell ref="A14:B17"/>
    <mergeCell ref="A18:C18"/>
    <mergeCell ref="A19:B21"/>
    <mergeCell ref="A22:C22"/>
    <mergeCell ref="A43:C43"/>
    <mergeCell ref="A28:C28"/>
    <mergeCell ref="A29:B31"/>
    <mergeCell ref="A32:C32"/>
    <mergeCell ref="A33:B39"/>
    <mergeCell ref="A40:C40"/>
    <mergeCell ref="A41:C41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A1" sqref="A1"/>
      <selection activeCell="A1" sqref="A1:K1"/>
    </sheetView>
  </sheetViews>
  <sheetFormatPr defaultColWidth="9.140625" defaultRowHeight="12.75"/>
  <sheetData>
    <row r="1" spans="1:11" ht="18">
      <c r="A1" s="1127" t="s">
        <v>366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</row>
    <row r="2" spans="1:11" ht="15">
      <c r="A2" s="1213" t="s">
        <v>204</v>
      </c>
      <c r="B2" s="1213"/>
      <c r="C2" s="1213"/>
      <c r="D2" s="574"/>
      <c r="E2" s="574"/>
      <c r="F2" s="574"/>
      <c r="G2" s="574"/>
      <c r="H2" s="574"/>
      <c r="I2" s="574"/>
      <c r="J2" s="574"/>
      <c r="K2" s="944"/>
    </row>
    <row r="3" spans="1:11" ht="15">
      <c r="A3" s="944"/>
      <c r="B3" s="944"/>
      <c r="C3" s="944"/>
      <c r="D3" s="574"/>
      <c r="E3" s="574"/>
      <c r="F3" s="574"/>
      <c r="G3" s="574"/>
      <c r="H3" s="574"/>
      <c r="I3" s="574"/>
      <c r="J3" s="574"/>
      <c r="K3" s="944"/>
    </row>
    <row r="4" spans="1:11" ht="15">
      <c r="A4" s="948"/>
      <c r="B4" s="948"/>
      <c r="C4" s="574"/>
      <c r="D4" s="574"/>
      <c r="E4" s="574"/>
      <c r="F4" s="574"/>
      <c r="G4" s="574"/>
      <c r="H4" s="574"/>
      <c r="I4" s="574"/>
      <c r="J4" s="574"/>
      <c r="K4" s="944"/>
    </row>
    <row r="5" spans="1:11" ht="23.25">
      <c r="A5" s="1214" t="s">
        <v>367</v>
      </c>
      <c r="B5" s="1214"/>
      <c r="C5" s="1214"/>
      <c r="D5" s="1214"/>
      <c r="E5" s="1214"/>
      <c r="F5" s="1214"/>
      <c r="G5" s="1214"/>
      <c r="H5" s="1214"/>
      <c r="I5" s="1214"/>
      <c r="J5" s="1214"/>
      <c r="K5" s="1214"/>
    </row>
    <row r="6" spans="1:11" ht="20.25">
      <c r="A6" s="1215" t="s">
        <v>206</v>
      </c>
      <c r="B6" s="1215"/>
      <c r="C6" s="1215"/>
      <c r="D6" s="1215"/>
      <c r="E6" s="1215"/>
      <c r="F6" s="1215"/>
      <c r="G6" s="1215"/>
      <c r="H6" s="1215"/>
      <c r="I6" s="1215"/>
      <c r="J6" s="1215"/>
      <c r="K6" s="1215"/>
    </row>
    <row r="7" spans="1:11" ht="27.75" thickBot="1">
      <c r="A7" s="949"/>
      <c r="B7" s="949"/>
      <c r="C7" s="578"/>
      <c r="D7" s="578"/>
      <c r="E7" s="578"/>
      <c r="F7" s="578"/>
      <c r="G7" s="578"/>
      <c r="H7" s="578"/>
      <c r="I7" s="578"/>
      <c r="J7" s="578"/>
      <c r="K7" s="580"/>
    </row>
    <row r="8" spans="1:11" ht="31.5" thickBot="1" thickTop="1">
      <c r="A8" s="1216" t="s">
        <v>207</v>
      </c>
      <c r="B8" s="1005"/>
      <c r="C8" s="1218" t="s">
        <v>369</v>
      </c>
      <c r="D8" s="1219"/>
      <c r="E8" s="1219"/>
      <c r="F8" s="1220"/>
      <c r="G8" s="1017" t="s">
        <v>371</v>
      </c>
      <c r="H8" s="1006" t="s">
        <v>368</v>
      </c>
      <c r="I8" s="1221" t="s">
        <v>370</v>
      </c>
      <c r="J8" s="1222"/>
      <c r="K8" s="1223" t="s">
        <v>195</v>
      </c>
    </row>
    <row r="9" spans="1:11" ht="66.75" thickBot="1" thickTop="1">
      <c r="A9" s="1217"/>
      <c r="B9" s="1021" t="s">
        <v>377</v>
      </c>
      <c r="C9" s="950" t="s">
        <v>373</v>
      </c>
      <c r="D9" s="951" t="s">
        <v>374</v>
      </c>
      <c r="E9" s="951" t="s">
        <v>376</v>
      </c>
      <c r="F9" s="1007" t="s">
        <v>375</v>
      </c>
      <c r="G9" s="1018" t="s">
        <v>379</v>
      </c>
      <c r="H9" s="1012" t="s">
        <v>372</v>
      </c>
      <c r="I9" s="952" t="s">
        <v>279</v>
      </c>
      <c r="J9" s="953" t="s">
        <v>378</v>
      </c>
      <c r="K9" s="1224"/>
    </row>
    <row r="10" spans="1:11" ht="15.75" thickTop="1">
      <c r="A10" s="517" t="s">
        <v>380</v>
      </c>
      <c r="B10" s="1011">
        <v>35</v>
      </c>
      <c r="C10" s="1019">
        <v>274</v>
      </c>
      <c r="D10" s="954">
        <v>2</v>
      </c>
      <c r="E10" s="955">
        <v>90</v>
      </c>
      <c r="F10" s="1008">
        <v>40</v>
      </c>
      <c r="G10" s="957">
        <v>20</v>
      </c>
      <c r="H10" s="1013">
        <v>81</v>
      </c>
      <c r="I10" s="956">
        <v>26</v>
      </c>
      <c r="J10" s="955">
        <v>9</v>
      </c>
      <c r="K10" s="958">
        <f>SUM(B10:J10)</f>
        <v>577</v>
      </c>
    </row>
    <row r="11" spans="1:11" ht="15">
      <c r="A11" s="517" t="s">
        <v>83</v>
      </c>
      <c r="B11" s="959">
        <v>111</v>
      </c>
      <c r="C11" s="962">
        <v>696</v>
      </c>
      <c r="D11" s="960">
        <v>15</v>
      </c>
      <c r="E11" s="961">
        <v>180</v>
      </c>
      <c r="F11" s="1009">
        <v>109</v>
      </c>
      <c r="G11" s="964">
        <v>25</v>
      </c>
      <c r="H11" s="1014">
        <v>321</v>
      </c>
      <c r="I11" s="962">
        <v>21</v>
      </c>
      <c r="J11" s="963" t="s">
        <v>105</v>
      </c>
      <c r="K11" s="965">
        <f aca="true" t="shared" si="0" ref="K11:K38">SUM(B11:J11)</f>
        <v>1478</v>
      </c>
    </row>
    <row r="12" spans="1:11" ht="15">
      <c r="A12" s="517" t="s">
        <v>87</v>
      </c>
      <c r="B12" s="968" t="s">
        <v>105</v>
      </c>
      <c r="C12" s="962">
        <v>2225</v>
      </c>
      <c r="D12" s="960">
        <v>105</v>
      </c>
      <c r="E12" s="961">
        <v>1204</v>
      </c>
      <c r="F12" s="1009">
        <v>674</v>
      </c>
      <c r="G12" s="964">
        <v>143</v>
      </c>
      <c r="H12" s="1014">
        <v>529</v>
      </c>
      <c r="I12" s="962">
        <v>176</v>
      </c>
      <c r="J12" s="963" t="s">
        <v>105</v>
      </c>
      <c r="K12" s="965">
        <f t="shared" si="0"/>
        <v>5056</v>
      </c>
    </row>
    <row r="13" spans="1:11" ht="15">
      <c r="A13" s="517" t="s">
        <v>92</v>
      </c>
      <c r="B13" s="959">
        <v>16</v>
      </c>
      <c r="C13" s="962">
        <v>229</v>
      </c>
      <c r="D13" s="960">
        <v>9</v>
      </c>
      <c r="E13" s="961">
        <v>114</v>
      </c>
      <c r="F13" s="1009">
        <v>59</v>
      </c>
      <c r="G13" s="964">
        <v>7</v>
      </c>
      <c r="H13" s="1014">
        <v>323</v>
      </c>
      <c r="I13" s="962">
        <v>193</v>
      </c>
      <c r="J13" s="961">
        <v>13</v>
      </c>
      <c r="K13" s="965">
        <f t="shared" si="0"/>
        <v>963</v>
      </c>
    </row>
    <row r="14" spans="1:11" ht="15">
      <c r="A14" s="517" t="s">
        <v>86</v>
      </c>
      <c r="B14" s="968" t="s">
        <v>105</v>
      </c>
      <c r="C14" s="962">
        <v>120</v>
      </c>
      <c r="D14" s="960">
        <v>33</v>
      </c>
      <c r="E14" s="961">
        <v>213</v>
      </c>
      <c r="F14" s="1009">
        <v>121</v>
      </c>
      <c r="G14" s="964">
        <v>292</v>
      </c>
      <c r="H14" s="1014">
        <v>1597</v>
      </c>
      <c r="I14" s="962">
        <v>555</v>
      </c>
      <c r="J14" s="961">
        <v>19</v>
      </c>
      <c r="K14" s="965">
        <f t="shared" si="0"/>
        <v>2950</v>
      </c>
    </row>
    <row r="15" spans="1:11" ht="15">
      <c r="A15" s="517" t="s">
        <v>220</v>
      </c>
      <c r="B15" s="968" t="s">
        <v>105</v>
      </c>
      <c r="C15" s="962">
        <v>50</v>
      </c>
      <c r="D15" s="963" t="s">
        <v>105</v>
      </c>
      <c r="E15" s="966" t="s">
        <v>105</v>
      </c>
      <c r="F15" s="966" t="s">
        <v>105</v>
      </c>
      <c r="G15" s="967" t="s">
        <v>105</v>
      </c>
      <c r="H15" s="1014">
        <v>159</v>
      </c>
      <c r="I15" s="962">
        <v>217</v>
      </c>
      <c r="J15" s="963" t="s">
        <v>105</v>
      </c>
      <c r="K15" s="965">
        <f t="shared" si="0"/>
        <v>426</v>
      </c>
    </row>
    <row r="16" spans="1:11" ht="15">
      <c r="A16" s="517" t="s">
        <v>75</v>
      </c>
      <c r="B16" s="968" t="s">
        <v>105</v>
      </c>
      <c r="C16" s="962">
        <v>64</v>
      </c>
      <c r="D16" s="963" t="s">
        <v>105</v>
      </c>
      <c r="E16" s="961">
        <v>7</v>
      </c>
      <c r="F16" s="1009">
        <v>5</v>
      </c>
      <c r="G16" s="964">
        <v>18</v>
      </c>
      <c r="H16" s="1014">
        <v>684</v>
      </c>
      <c r="I16" s="962">
        <v>22</v>
      </c>
      <c r="J16" s="963" t="s">
        <v>105</v>
      </c>
      <c r="K16" s="965">
        <f t="shared" si="0"/>
        <v>800</v>
      </c>
    </row>
    <row r="17" spans="1:11" ht="15">
      <c r="A17" s="517" t="s">
        <v>67</v>
      </c>
      <c r="B17" s="968" t="s">
        <v>105</v>
      </c>
      <c r="C17" s="962">
        <v>255</v>
      </c>
      <c r="D17" s="963" t="s">
        <v>105</v>
      </c>
      <c r="E17" s="966" t="s">
        <v>105</v>
      </c>
      <c r="F17" s="966" t="s">
        <v>105</v>
      </c>
      <c r="G17" s="964">
        <v>11</v>
      </c>
      <c r="H17" s="1015" t="s">
        <v>105</v>
      </c>
      <c r="I17" s="962">
        <v>118</v>
      </c>
      <c r="J17" s="963" t="s">
        <v>105</v>
      </c>
      <c r="K17" s="965">
        <f t="shared" si="0"/>
        <v>384</v>
      </c>
    </row>
    <row r="18" spans="1:11" ht="15">
      <c r="A18" s="517" t="s">
        <v>85</v>
      </c>
      <c r="B18" s="959">
        <v>7</v>
      </c>
      <c r="C18" s="962">
        <v>2250</v>
      </c>
      <c r="D18" s="960">
        <v>45</v>
      </c>
      <c r="E18" s="961">
        <v>1735</v>
      </c>
      <c r="F18" s="1009">
        <v>949</v>
      </c>
      <c r="G18" s="964">
        <v>150</v>
      </c>
      <c r="H18" s="1014">
        <v>852</v>
      </c>
      <c r="I18" s="962">
        <v>8205</v>
      </c>
      <c r="J18" s="961">
        <v>783</v>
      </c>
      <c r="K18" s="965">
        <f t="shared" si="0"/>
        <v>14976</v>
      </c>
    </row>
    <row r="19" spans="1:11" ht="15">
      <c r="A19" s="517" t="s">
        <v>381</v>
      </c>
      <c r="B19" s="959">
        <v>51</v>
      </c>
      <c r="C19" s="962">
        <v>641</v>
      </c>
      <c r="D19" s="960">
        <v>13</v>
      </c>
      <c r="E19" s="961">
        <v>298</v>
      </c>
      <c r="F19" s="1009">
        <v>191</v>
      </c>
      <c r="G19" s="967" t="s">
        <v>105</v>
      </c>
      <c r="H19" s="1014">
        <v>303</v>
      </c>
      <c r="I19" s="962">
        <v>130</v>
      </c>
      <c r="J19" s="961">
        <v>70</v>
      </c>
      <c r="K19" s="965">
        <f t="shared" si="0"/>
        <v>1697</v>
      </c>
    </row>
    <row r="20" spans="1:11" ht="15">
      <c r="A20" s="517" t="s">
        <v>82</v>
      </c>
      <c r="B20" s="959">
        <v>17</v>
      </c>
      <c r="C20" s="962">
        <v>138</v>
      </c>
      <c r="D20" s="960">
        <v>12</v>
      </c>
      <c r="E20" s="961">
        <v>208</v>
      </c>
      <c r="F20" s="1009">
        <v>127</v>
      </c>
      <c r="G20" s="967" t="s">
        <v>105</v>
      </c>
      <c r="H20" s="1014">
        <v>236</v>
      </c>
      <c r="I20" s="962">
        <v>7</v>
      </c>
      <c r="J20" s="963" t="s">
        <v>105</v>
      </c>
      <c r="K20" s="965">
        <f t="shared" si="0"/>
        <v>745</v>
      </c>
    </row>
    <row r="21" spans="1:11" ht="15">
      <c r="A21" s="517" t="s">
        <v>77</v>
      </c>
      <c r="B21" s="968" t="s">
        <v>105</v>
      </c>
      <c r="C21" s="962">
        <v>1</v>
      </c>
      <c r="D21" s="963" t="s">
        <v>105</v>
      </c>
      <c r="E21" s="961">
        <v>187</v>
      </c>
      <c r="F21" s="1009">
        <v>96</v>
      </c>
      <c r="G21" s="964">
        <v>19</v>
      </c>
      <c r="H21" s="1014">
        <v>362</v>
      </c>
      <c r="I21" s="962">
        <v>117</v>
      </c>
      <c r="J21" s="963" t="s">
        <v>105</v>
      </c>
      <c r="K21" s="965">
        <f t="shared" si="0"/>
        <v>782</v>
      </c>
    </row>
    <row r="22" spans="1:11" ht="15">
      <c r="A22" s="517" t="s">
        <v>91</v>
      </c>
      <c r="B22" s="968" t="s">
        <v>105</v>
      </c>
      <c r="C22" s="962">
        <v>18</v>
      </c>
      <c r="D22" s="960">
        <v>12</v>
      </c>
      <c r="E22" s="961">
        <v>110</v>
      </c>
      <c r="F22" s="1009">
        <v>63</v>
      </c>
      <c r="G22" s="964">
        <v>34</v>
      </c>
      <c r="H22" s="1014">
        <v>116</v>
      </c>
      <c r="I22" s="962">
        <v>344</v>
      </c>
      <c r="J22" s="963" t="s">
        <v>105</v>
      </c>
      <c r="K22" s="965">
        <f t="shared" si="0"/>
        <v>697</v>
      </c>
    </row>
    <row r="23" spans="1:11" ht="15">
      <c r="A23" s="517" t="s">
        <v>71</v>
      </c>
      <c r="B23" s="959">
        <v>34</v>
      </c>
      <c r="C23" s="962">
        <v>335</v>
      </c>
      <c r="D23" s="960">
        <v>11</v>
      </c>
      <c r="E23" s="966" t="s">
        <v>105</v>
      </c>
      <c r="F23" s="966" t="s">
        <v>105</v>
      </c>
      <c r="G23" s="967" t="s">
        <v>105</v>
      </c>
      <c r="H23" s="1014">
        <v>269</v>
      </c>
      <c r="I23" s="962">
        <v>50</v>
      </c>
      <c r="J23" s="963" t="s">
        <v>105</v>
      </c>
      <c r="K23" s="965">
        <f t="shared" si="0"/>
        <v>699</v>
      </c>
    </row>
    <row r="24" spans="1:11" ht="15">
      <c r="A24" s="517" t="s">
        <v>139</v>
      </c>
      <c r="B24" s="968" t="s">
        <v>105</v>
      </c>
      <c r="C24" s="962">
        <v>25</v>
      </c>
      <c r="D24" s="960">
        <v>1</v>
      </c>
      <c r="E24" s="961">
        <v>245</v>
      </c>
      <c r="F24" s="1009">
        <v>146</v>
      </c>
      <c r="G24" s="964">
        <v>305</v>
      </c>
      <c r="H24" s="1014">
        <v>2012</v>
      </c>
      <c r="I24" s="962">
        <v>771</v>
      </c>
      <c r="J24" s="961">
        <v>20</v>
      </c>
      <c r="K24" s="965">
        <f t="shared" si="0"/>
        <v>3525</v>
      </c>
    </row>
    <row r="25" spans="1:11" ht="15">
      <c r="A25" s="517" t="s">
        <v>76</v>
      </c>
      <c r="B25" s="959">
        <v>22</v>
      </c>
      <c r="C25" s="962">
        <v>368</v>
      </c>
      <c r="D25" s="960">
        <v>15</v>
      </c>
      <c r="E25" s="966" t="s">
        <v>105</v>
      </c>
      <c r="F25" s="966" t="s">
        <v>105</v>
      </c>
      <c r="G25" s="967" t="s">
        <v>105</v>
      </c>
      <c r="H25" s="1014">
        <v>194</v>
      </c>
      <c r="I25" s="962">
        <v>13</v>
      </c>
      <c r="J25" s="963" t="s">
        <v>105</v>
      </c>
      <c r="K25" s="965">
        <f t="shared" si="0"/>
        <v>612</v>
      </c>
    </row>
    <row r="26" spans="1:11" ht="15">
      <c r="A26" s="517" t="s">
        <v>74</v>
      </c>
      <c r="B26" s="968" t="s">
        <v>105</v>
      </c>
      <c r="C26" s="1020" t="s">
        <v>105</v>
      </c>
      <c r="D26" s="963" t="s">
        <v>105</v>
      </c>
      <c r="E26" s="961">
        <v>135</v>
      </c>
      <c r="F26" s="1009">
        <v>66</v>
      </c>
      <c r="G26" s="964">
        <v>56</v>
      </c>
      <c r="H26" s="1014">
        <v>833</v>
      </c>
      <c r="I26" s="962">
        <v>22</v>
      </c>
      <c r="J26" s="963" t="s">
        <v>105</v>
      </c>
      <c r="K26" s="965">
        <f t="shared" si="0"/>
        <v>1112</v>
      </c>
    </row>
    <row r="27" spans="1:11" ht="15">
      <c r="A27" s="517" t="s">
        <v>227</v>
      </c>
      <c r="B27" s="968" t="s">
        <v>105</v>
      </c>
      <c r="C27" s="1020" t="s">
        <v>105</v>
      </c>
      <c r="D27" s="963" t="s">
        <v>105</v>
      </c>
      <c r="E27" s="961">
        <v>1015</v>
      </c>
      <c r="F27" s="1009">
        <v>624</v>
      </c>
      <c r="G27" s="967" t="s">
        <v>105</v>
      </c>
      <c r="H27" s="1015" t="s">
        <v>105</v>
      </c>
      <c r="I27" s="962">
        <v>454</v>
      </c>
      <c r="J27" s="963" t="s">
        <v>105</v>
      </c>
      <c r="K27" s="965">
        <f t="shared" si="0"/>
        <v>2093</v>
      </c>
    </row>
    <row r="28" spans="1:11" ht="15">
      <c r="A28" s="517" t="s">
        <v>72</v>
      </c>
      <c r="B28" s="959">
        <v>17</v>
      </c>
      <c r="C28" s="962">
        <v>16</v>
      </c>
      <c r="D28" s="963" t="s">
        <v>105</v>
      </c>
      <c r="E28" s="961">
        <v>2</v>
      </c>
      <c r="F28" s="1009">
        <v>2</v>
      </c>
      <c r="G28" s="964">
        <v>145</v>
      </c>
      <c r="H28" s="1014">
        <v>1233</v>
      </c>
      <c r="I28" s="962">
        <v>849</v>
      </c>
      <c r="J28" s="961">
        <v>43</v>
      </c>
      <c r="K28" s="965">
        <f t="shared" si="0"/>
        <v>2307</v>
      </c>
    </row>
    <row r="29" spans="1:11" ht="15">
      <c r="A29" s="517" t="s">
        <v>78</v>
      </c>
      <c r="B29" s="968" t="s">
        <v>105</v>
      </c>
      <c r="C29" s="1020" t="s">
        <v>105</v>
      </c>
      <c r="D29" s="963" t="s">
        <v>105</v>
      </c>
      <c r="E29" s="961">
        <v>169</v>
      </c>
      <c r="F29" s="1009">
        <v>106</v>
      </c>
      <c r="G29" s="964">
        <v>163</v>
      </c>
      <c r="H29" s="1014">
        <v>620</v>
      </c>
      <c r="I29" s="962">
        <v>94</v>
      </c>
      <c r="J29" s="961">
        <v>1</v>
      </c>
      <c r="K29" s="965">
        <f t="shared" si="0"/>
        <v>1153</v>
      </c>
    </row>
    <row r="30" spans="1:11" ht="15">
      <c r="A30" s="517" t="s">
        <v>230</v>
      </c>
      <c r="B30" s="959">
        <v>136</v>
      </c>
      <c r="C30" s="962">
        <v>802</v>
      </c>
      <c r="D30" s="960">
        <v>16</v>
      </c>
      <c r="E30" s="961">
        <v>14</v>
      </c>
      <c r="F30" s="1009">
        <v>15</v>
      </c>
      <c r="G30" s="964">
        <v>31</v>
      </c>
      <c r="H30" s="1014">
        <v>526</v>
      </c>
      <c r="I30" s="962">
        <v>9</v>
      </c>
      <c r="J30" s="961">
        <v>4</v>
      </c>
      <c r="K30" s="965">
        <f t="shared" si="0"/>
        <v>1553</v>
      </c>
    </row>
    <row r="31" spans="1:11" ht="15">
      <c r="A31" s="517" t="s">
        <v>81</v>
      </c>
      <c r="B31" s="959">
        <v>28</v>
      </c>
      <c r="C31" s="962">
        <v>95</v>
      </c>
      <c r="D31" s="960">
        <v>22</v>
      </c>
      <c r="E31" s="961">
        <v>231</v>
      </c>
      <c r="F31" s="1009">
        <v>144</v>
      </c>
      <c r="G31" s="967" t="s">
        <v>105</v>
      </c>
      <c r="H31" s="1014">
        <v>315</v>
      </c>
      <c r="I31" s="962">
        <v>159</v>
      </c>
      <c r="J31" s="963" t="s">
        <v>105</v>
      </c>
      <c r="K31" s="965">
        <f t="shared" si="0"/>
        <v>994</v>
      </c>
    </row>
    <row r="32" spans="1:11" ht="15">
      <c r="A32" s="517" t="s">
        <v>382</v>
      </c>
      <c r="B32" s="959">
        <v>30</v>
      </c>
      <c r="C32" s="962">
        <v>330</v>
      </c>
      <c r="D32" s="960">
        <v>11</v>
      </c>
      <c r="E32" s="961">
        <v>244</v>
      </c>
      <c r="F32" s="1009">
        <v>147</v>
      </c>
      <c r="G32" s="964">
        <v>3</v>
      </c>
      <c r="H32" s="1014">
        <v>257</v>
      </c>
      <c r="I32" s="962">
        <v>90</v>
      </c>
      <c r="J32" s="963" t="s">
        <v>105</v>
      </c>
      <c r="K32" s="965">
        <f t="shared" si="0"/>
        <v>1112</v>
      </c>
    </row>
    <row r="33" spans="1:11" ht="15">
      <c r="A33" s="517" t="s">
        <v>90</v>
      </c>
      <c r="B33" s="959">
        <v>40</v>
      </c>
      <c r="C33" s="962">
        <v>2214</v>
      </c>
      <c r="D33" s="960">
        <v>24</v>
      </c>
      <c r="E33" s="961">
        <v>188</v>
      </c>
      <c r="F33" s="1009">
        <v>96</v>
      </c>
      <c r="G33" s="964">
        <v>27</v>
      </c>
      <c r="H33" s="1014">
        <v>293</v>
      </c>
      <c r="I33" s="962">
        <v>157</v>
      </c>
      <c r="J33" s="963" t="s">
        <v>105</v>
      </c>
      <c r="K33" s="965">
        <f t="shared" si="0"/>
        <v>3039</v>
      </c>
    </row>
    <row r="34" spans="1:11" ht="15">
      <c r="A34" s="517" t="s">
        <v>70</v>
      </c>
      <c r="B34" s="968" t="s">
        <v>105</v>
      </c>
      <c r="C34" s="962">
        <v>28</v>
      </c>
      <c r="D34" s="960">
        <v>11</v>
      </c>
      <c r="E34" s="961">
        <v>148</v>
      </c>
      <c r="F34" s="1009">
        <v>78</v>
      </c>
      <c r="G34" s="964">
        <v>66</v>
      </c>
      <c r="H34" s="1014">
        <v>352</v>
      </c>
      <c r="I34" s="962">
        <v>95</v>
      </c>
      <c r="J34" s="963" t="s">
        <v>105</v>
      </c>
      <c r="K34" s="965">
        <f t="shared" si="0"/>
        <v>778</v>
      </c>
    </row>
    <row r="35" spans="1:11" ht="15">
      <c r="A35" s="517" t="s">
        <v>69</v>
      </c>
      <c r="B35" s="968" t="s">
        <v>105</v>
      </c>
      <c r="C35" s="962">
        <v>39</v>
      </c>
      <c r="D35" s="963" t="s">
        <v>105</v>
      </c>
      <c r="E35" s="961">
        <v>23</v>
      </c>
      <c r="F35" s="1009">
        <v>14</v>
      </c>
      <c r="G35" s="964">
        <v>10</v>
      </c>
      <c r="H35" s="1014">
        <v>235</v>
      </c>
      <c r="I35" s="962">
        <v>22</v>
      </c>
      <c r="J35" s="963" t="s">
        <v>105</v>
      </c>
      <c r="K35" s="965">
        <f t="shared" si="0"/>
        <v>343</v>
      </c>
    </row>
    <row r="36" spans="1:11" ht="15">
      <c r="A36" s="517" t="s">
        <v>88</v>
      </c>
      <c r="B36" s="968" t="s">
        <v>105</v>
      </c>
      <c r="C36" s="1020" t="s">
        <v>105</v>
      </c>
      <c r="D36" s="963" t="s">
        <v>105</v>
      </c>
      <c r="E36" s="961">
        <v>57</v>
      </c>
      <c r="F36" s="1009">
        <v>38</v>
      </c>
      <c r="G36" s="967" t="s">
        <v>105</v>
      </c>
      <c r="H36" s="1014">
        <v>529</v>
      </c>
      <c r="I36" s="962">
        <v>16</v>
      </c>
      <c r="J36" s="963" t="s">
        <v>105</v>
      </c>
      <c r="K36" s="965">
        <f t="shared" si="0"/>
        <v>640</v>
      </c>
    </row>
    <row r="37" spans="1:11" ht="15">
      <c r="A37" s="517" t="s">
        <v>383</v>
      </c>
      <c r="B37" s="959">
        <v>151</v>
      </c>
      <c r="C37" s="962">
        <v>187</v>
      </c>
      <c r="D37" s="969">
        <v>9</v>
      </c>
      <c r="E37" s="961">
        <v>96</v>
      </c>
      <c r="F37" s="1009">
        <v>58</v>
      </c>
      <c r="G37" s="964">
        <v>51</v>
      </c>
      <c r="H37" s="1014">
        <v>480</v>
      </c>
      <c r="I37" s="962">
        <v>42</v>
      </c>
      <c r="J37" s="961">
        <v>20</v>
      </c>
      <c r="K37" s="965">
        <f t="shared" si="0"/>
        <v>1094</v>
      </c>
    </row>
    <row r="38" spans="1:11" ht="15.75" thickBot="1">
      <c r="A38" s="517" t="s">
        <v>194</v>
      </c>
      <c r="B38" s="970">
        <v>133</v>
      </c>
      <c r="C38" s="972">
        <v>900</v>
      </c>
      <c r="D38" s="969">
        <v>3</v>
      </c>
      <c r="E38" s="971">
        <v>382</v>
      </c>
      <c r="F38" s="1010">
        <v>186</v>
      </c>
      <c r="G38" s="973">
        <v>108</v>
      </c>
      <c r="H38" s="1016">
        <v>800</v>
      </c>
      <c r="I38" s="972">
        <v>1537</v>
      </c>
      <c r="J38" s="971">
        <v>87</v>
      </c>
      <c r="K38" s="974">
        <f t="shared" si="0"/>
        <v>4136</v>
      </c>
    </row>
    <row r="39" spans="1:11" ht="16.5" thickBot="1" thickTop="1">
      <c r="A39" s="975" t="s">
        <v>195</v>
      </c>
      <c r="B39" s="976">
        <f>SUM(B10:B38)</f>
        <v>828</v>
      </c>
      <c r="C39" s="979">
        <f aca="true" t="shared" si="1" ref="C39:K39">SUM(C10:C38)</f>
        <v>12300</v>
      </c>
      <c r="D39" s="977">
        <f t="shared" si="1"/>
        <v>369</v>
      </c>
      <c r="E39" s="978">
        <f t="shared" si="1"/>
        <v>7295</v>
      </c>
      <c r="F39" s="978">
        <f>SUM(F10:F38)</f>
        <v>4154</v>
      </c>
      <c r="G39" s="980">
        <f>SUM(G10:G38)</f>
        <v>1684</v>
      </c>
      <c r="H39" s="981">
        <f>SUM(H10:H38)</f>
        <v>14511</v>
      </c>
      <c r="I39" s="979">
        <f t="shared" si="1"/>
        <v>14511</v>
      </c>
      <c r="J39" s="978">
        <f t="shared" si="1"/>
        <v>1069</v>
      </c>
      <c r="K39" s="981">
        <f t="shared" si="1"/>
        <v>56721</v>
      </c>
    </row>
    <row r="40" ht="13.5" thickTop="1"/>
  </sheetData>
  <sheetProtection/>
  <mergeCells count="8">
    <mergeCell ref="A1:K1"/>
    <mergeCell ref="A2:C2"/>
    <mergeCell ref="A5:K5"/>
    <mergeCell ref="A6:K6"/>
    <mergeCell ref="A8:A9"/>
    <mergeCell ref="C8:F8"/>
    <mergeCell ref="I8:J8"/>
    <mergeCell ref="K8:K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1"/>
  <sheetViews>
    <sheetView zoomScale="90" zoomScaleNormal="90" zoomScalePageLayoutView="0" workbookViewId="0" topLeftCell="A1">
      <selection activeCell="A1" sqref="A1"/>
      <selection activeCell="A1" sqref="A1:Q1"/>
    </sheetView>
  </sheetViews>
  <sheetFormatPr defaultColWidth="9.140625" defaultRowHeight="12.75"/>
  <cols>
    <col min="12" max="16" width="5.7109375" style="0" customWidth="1"/>
    <col min="17" max="17" width="7.7109375" style="0" customWidth="1"/>
    <col min="18" max="18" width="4.00390625" style="0" customWidth="1"/>
  </cols>
  <sheetData>
    <row r="1" spans="1:17" ht="18">
      <c r="A1" s="1127" t="s">
        <v>384</v>
      </c>
      <c r="B1" s="1127"/>
      <c r="C1" s="1127"/>
      <c r="D1" s="1127"/>
      <c r="E1" s="1127"/>
      <c r="F1" s="1127"/>
      <c r="G1" s="1127"/>
      <c r="H1" s="1127"/>
      <c r="I1" s="1127"/>
      <c r="J1" s="1127"/>
      <c r="K1" s="1127"/>
      <c r="L1" s="1127"/>
      <c r="M1" s="1127"/>
      <c r="N1" s="1127"/>
      <c r="O1" s="1127"/>
      <c r="P1" s="1127"/>
      <c r="Q1" s="1127"/>
    </row>
    <row r="2" spans="1:17" ht="15">
      <c r="A2" s="982" t="s">
        <v>204</v>
      </c>
      <c r="B2" s="982"/>
      <c r="C2" s="982"/>
      <c r="D2" s="982"/>
      <c r="E2" s="982"/>
      <c r="F2" s="982"/>
      <c r="G2" s="982"/>
      <c r="H2" s="982"/>
      <c r="I2" s="982"/>
      <c r="J2" s="982"/>
      <c r="K2" s="982"/>
      <c r="L2" s="982"/>
      <c r="M2" s="982"/>
      <c r="N2" s="982"/>
      <c r="O2" s="982"/>
      <c r="P2" s="982"/>
      <c r="Q2" s="982"/>
    </row>
    <row r="3" spans="1:17" ht="15">
      <c r="A3" s="983"/>
      <c r="B3" s="982"/>
      <c r="C3" s="982"/>
      <c r="D3" s="982"/>
      <c r="E3" s="982"/>
      <c r="F3" s="982"/>
      <c r="G3" s="982"/>
      <c r="H3" s="982"/>
      <c r="I3" s="982"/>
      <c r="J3" s="982"/>
      <c r="K3" s="982"/>
      <c r="L3" s="982"/>
      <c r="M3" s="982"/>
      <c r="N3" s="982"/>
      <c r="O3" s="982"/>
      <c r="P3" s="982"/>
      <c r="Q3" s="982"/>
    </row>
    <row r="4" spans="1:17" ht="23.25">
      <c r="A4" s="1227" t="s">
        <v>385</v>
      </c>
      <c r="B4" s="1227"/>
      <c r="C4" s="1227"/>
      <c r="D4" s="1227"/>
      <c r="E4" s="1227"/>
      <c r="F4" s="1227"/>
      <c r="G4" s="1227"/>
      <c r="H4" s="1227"/>
      <c r="I4" s="1227"/>
      <c r="J4" s="1227"/>
      <c r="K4" s="1227"/>
      <c r="L4" s="1227"/>
      <c r="M4" s="1227"/>
      <c r="N4" s="1227"/>
      <c r="O4" s="1227"/>
      <c r="P4" s="1227"/>
      <c r="Q4" s="1227"/>
    </row>
    <row r="5" spans="1:17" ht="20.25">
      <c r="A5" s="1228" t="s">
        <v>386</v>
      </c>
      <c r="B5" s="1228"/>
      <c r="C5" s="1228"/>
      <c r="D5" s="1228"/>
      <c r="E5" s="1228"/>
      <c r="F5" s="1228"/>
      <c r="G5" s="1228"/>
      <c r="H5" s="1228"/>
      <c r="I5" s="1228"/>
      <c r="J5" s="1228"/>
      <c r="K5" s="1228"/>
      <c r="L5" s="1228"/>
      <c r="M5" s="1228"/>
      <c r="N5" s="1228"/>
      <c r="O5" s="1228"/>
      <c r="P5" s="1228"/>
      <c r="Q5" s="1228"/>
    </row>
    <row r="6" spans="1:17" ht="15.75" thickBot="1">
      <c r="A6" s="984"/>
      <c r="B6" s="985"/>
      <c r="C6" s="985"/>
      <c r="D6" s="985"/>
      <c r="E6" s="985"/>
      <c r="F6" s="985"/>
      <c r="G6" s="985"/>
      <c r="H6" s="985"/>
      <c r="I6" s="985"/>
      <c r="J6" s="985"/>
      <c r="K6" s="985"/>
      <c r="L6" s="985"/>
      <c r="M6" s="985"/>
      <c r="N6" s="985"/>
      <c r="O6" s="1229" t="s">
        <v>240</v>
      </c>
      <c r="P6" s="1229"/>
      <c r="Q6" s="1229"/>
    </row>
    <row r="7" spans="1:17" ht="14.25" thickBot="1" thickTop="1">
      <c r="A7" s="1230" t="s">
        <v>207</v>
      </c>
      <c r="B7" s="1233" t="s">
        <v>387</v>
      </c>
      <c r="C7" s="1234"/>
      <c r="D7" s="1234"/>
      <c r="E7" s="1234"/>
      <c r="F7" s="1233" t="s">
        <v>268</v>
      </c>
      <c r="G7" s="1234"/>
      <c r="H7" s="1234"/>
      <c r="I7" s="1234"/>
      <c r="J7" s="1234"/>
      <c r="K7" s="1234"/>
      <c r="L7" s="1234"/>
      <c r="M7" s="1234"/>
      <c r="N7" s="1234"/>
      <c r="O7" s="1235" t="s">
        <v>388</v>
      </c>
      <c r="P7" s="1236"/>
      <c r="Q7" s="1237" t="s">
        <v>301</v>
      </c>
    </row>
    <row r="8" spans="1:17" ht="13.5" thickTop="1">
      <c r="A8" s="1231"/>
      <c r="B8" s="1240" t="s">
        <v>389</v>
      </c>
      <c r="C8" s="1225" t="s">
        <v>390</v>
      </c>
      <c r="D8" s="1243" t="s">
        <v>392</v>
      </c>
      <c r="E8" s="1225" t="s">
        <v>391</v>
      </c>
      <c r="F8" s="1245" t="s">
        <v>393</v>
      </c>
      <c r="G8" s="1246"/>
      <c r="H8" s="1240" t="s">
        <v>394</v>
      </c>
      <c r="I8" s="1225" t="s">
        <v>395</v>
      </c>
      <c r="J8" s="1225" t="s">
        <v>396</v>
      </c>
      <c r="K8" s="1225" t="s">
        <v>397</v>
      </c>
      <c r="L8" s="1225" t="s">
        <v>398</v>
      </c>
      <c r="M8" s="1225" t="s">
        <v>399</v>
      </c>
      <c r="N8" s="1243" t="s">
        <v>400</v>
      </c>
      <c r="O8" s="1240" t="s">
        <v>401</v>
      </c>
      <c r="P8" s="1248" t="s">
        <v>402</v>
      </c>
      <c r="Q8" s="1238"/>
    </row>
    <row r="9" spans="1:17" ht="13.5" thickBot="1">
      <c r="A9" s="1232"/>
      <c r="B9" s="1241"/>
      <c r="C9" s="1242"/>
      <c r="D9" s="1244"/>
      <c r="E9" s="1242"/>
      <c r="F9" s="986" t="s">
        <v>389</v>
      </c>
      <c r="G9" s="987" t="s">
        <v>396</v>
      </c>
      <c r="H9" s="1247"/>
      <c r="I9" s="1226"/>
      <c r="J9" s="1226"/>
      <c r="K9" s="1226"/>
      <c r="L9" s="1226"/>
      <c r="M9" s="1226"/>
      <c r="N9" s="1250"/>
      <c r="O9" s="1247"/>
      <c r="P9" s="1249"/>
      <c r="Q9" s="1239"/>
    </row>
    <row r="10" spans="1:17" ht="13.5" thickTop="1">
      <c r="A10" s="1023" t="s">
        <v>198</v>
      </c>
      <c r="B10" s="989">
        <v>0</v>
      </c>
      <c r="C10" s="990">
        <v>0</v>
      </c>
      <c r="D10" s="991">
        <v>0</v>
      </c>
      <c r="E10" s="990">
        <v>0</v>
      </c>
      <c r="F10" s="989">
        <v>0</v>
      </c>
      <c r="G10" s="992">
        <v>0</v>
      </c>
      <c r="H10" s="993">
        <v>0</v>
      </c>
      <c r="I10" s="990">
        <v>1</v>
      </c>
      <c r="J10" s="990">
        <v>0</v>
      </c>
      <c r="K10" s="990">
        <v>0</v>
      </c>
      <c r="L10" s="994">
        <v>7</v>
      </c>
      <c r="M10" s="994">
        <v>9</v>
      </c>
      <c r="N10" s="994">
        <v>10</v>
      </c>
      <c r="O10" s="989">
        <v>0</v>
      </c>
      <c r="P10" s="995">
        <v>0</v>
      </c>
      <c r="Q10" s="996">
        <f>SUM(B10:P10)</f>
        <v>27</v>
      </c>
    </row>
    <row r="11" spans="1:17" ht="12.75">
      <c r="A11" s="988" t="s">
        <v>217</v>
      </c>
      <c r="B11" s="993">
        <v>186</v>
      </c>
      <c r="C11" s="997">
        <v>17</v>
      </c>
      <c r="D11" s="991" t="s">
        <v>105</v>
      </c>
      <c r="E11" s="997">
        <v>489</v>
      </c>
      <c r="F11" s="993" t="s">
        <v>105</v>
      </c>
      <c r="G11" s="992" t="s">
        <v>105</v>
      </c>
      <c r="H11" s="993" t="s">
        <v>105</v>
      </c>
      <c r="I11" s="990">
        <v>3</v>
      </c>
      <c r="J11" s="990">
        <v>772</v>
      </c>
      <c r="K11" s="990">
        <v>0</v>
      </c>
      <c r="L11" s="990">
        <v>0</v>
      </c>
      <c r="M11" s="990">
        <v>0</v>
      </c>
      <c r="N11" s="991">
        <v>0</v>
      </c>
      <c r="O11" s="989">
        <v>0</v>
      </c>
      <c r="P11" s="995">
        <v>0</v>
      </c>
      <c r="Q11" s="998">
        <f>SUM(B11:P11)</f>
        <v>1467</v>
      </c>
    </row>
    <row r="12" spans="1:17" ht="12.75">
      <c r="A12" s="988" t="s">
        <v>201</v>
      </c>
      <c r="B12" s="993">
        <v>38</v>
      </c>
      <c r="C12" s="997">
        <v>3</v>
      </c>
      <c r="D12" s="991" t="s">
        <v>105</v>
      </c>
      <c r="E12" s="990" t="s">
        <v>105</v>
      </c>
      <c r="F12" s="993">
        <v>9</v>
      </c>
      <c r="G12" s="992" t="s">
        <v>105</v>
      </c>
      <c r="H12" s="993">
        <v>1</v>
      </c>
      <c r="I12" s="990">
        <v>0</v>
      </c>
      <c r="J12" s="990">
        <v>0</v>
      </c>
      <c r="K12" s="990">
        <v>0</v>
      </c>
      <c r="L12" s="990">
        <v>0</v>
      </c>
      <c r="M12" s="990">
        <v>0</v>
      </c>
      <c r="N12" s="991">
        <v>0</v>
      </c>
      <c r="O12" s="989">
        <v>0</v>
      </c>
      <c r="P12" s="995">
        <v>0</v>
      </c>
      <c r="Q12" s="998">
        <f>SUM(B12:P12)</f>
        <v>51</v>
      </c>
    </row>
    <row r="13" spans="1:17" ht="12.75">
      <c r="A13" s="999" t="s">
        <v>188</v>
      </c>
      <c r="B13" s="993">
        <v>5539</v>
      </c>
      <c r="C13" s="997">
        <v>166</v>
      </c>
      <c r="D13" s="991" t="s">
        <v>105</v>
      </c>
      <c r="E13" s="997">
        <v>837</v>
      </c>
      <c r="F13" s="989">
        <v>75</v>
      </c>
      <c r="G13" s="992" t="s">
        <v>105</v>
      </c>
      <c r="H13" s="989">
        <v>12</v>
      </c>
      <c r="I13" s="1000">
        <v>3</v>
      </c>
      <c r="J13" s="997">
        <v>1303</v>
      </c>
      <c r="K13" s="990" t="s">
        <v>105</v>
      </c>
      <c r="L13" s="990" t="s">
        <v>105</v>
      </c>
      <c r="M13" s="990" t="s">
        <v>105</v>
      </c>
      <c r="N13" s="991" t="s">
        <v>105</v>
      </c>
      <c r="O13" s="989" t="s">
        <v>105</v>
      </c>
      <c r="P13" s="995" t="s">
        <v>105</v>
      </c>
      <c r="Q13" s="998">
        <f>SUM(B13:P13)</f>
        <v>7935</v>
      </c>
    </row>
    <row r="14" spans="1:17" ht="12.75">
      <c r="A14" s="988" t="s">
        <v>83</v>
      </c>
      <c r="B14" s="993">
        <v>431</v>
      </c>
      <c r="C14" s="997" t="s">
        <v>105</v>
      </c>
      <c r="D14" s="994" t="s">
        <v>105</v>
      </c>
      <c r="E14" s="997">
        <v>28</v>
      </c>
      <c r="F14" s="993">
        <v>93</v>
      </c>
      <c r="G14" s="992">
        <v>27</v>
      </c>
      <c r="H14" s="993">
        <v>4</v>
      </c>
      <c r="I14" s="1000">
        <v>8</v>
      </c>
      <c r="J14" s="997">
        <v>122</v>
      </c>
      <c r="K14" s="990" t="s">
        <v>105</v>
      </c>
      <c r="L14" s="990" t="s">
        <v>105</v>
      </c>
      <c r="M14" s="990" t="s">
        <v>105</v>
      </c>
      <c r="N14" s="991" t="s">
        <v>105</v>
      </c>
      <c r="O14" s="989" t="s">
        <v>105</v>
      </c>
      <c r="P14" s="995" t="s">
        <v>105</v>
      </c>
      <c r="Q14" s="998">
        <f>SUM(B14:P14)</f>
        <v>713</v>
      </c>
    </row>
    <row r="15" spans="1:17" ht="12.75">
      <c r="A15" s="999" t="s">
        <v>87</v>
      </c>
      <c r="B15" s="989" t="s">
        <v>105</v>
      </c>
      <c r="C15" s="990" t="s">
        <v>105</v>
      </c>
      <c r="D15" s="991" t="s">
        <v>105</v>
      </c>
      <c r="E15" s="990" t="s">
        <v>105</v>
      </c>
      <c r="F15" s="989" t="s">
        <v>105</v>
      </c>
      <c r="G15" s="995" t="s">
        <v>105</v>
      </c>
      <c r="H15" s="989" t="s">
        <v>105</v>
      </c>
      <c r="I15" s="990" t="s">
        <v>105</v>
      </c>
      <c r="J15" s="990" t="s">
        <v>105</v>
      </c>
      <c r="K15" s="990" t="s">
        <v>105</v>
      </c>
      <c r="L15" s="990" t="s">
        <v>105</v>
      </c>
      <c r="M15" s="990" t="s">
        <v>105</v>
      </c>
      <c r="N15" s="991" t="s">
        <v>105</v>
      </c>
      <c r="O15" s="989" t="s">
        <v>105</v>
      </c>
      <c r="P15" s="995" t="s">
        <v>105</v>
      </c>
      <c r="Q15" s="998" t="s">
        <v>105</v>
      </c>
    </row>
    <row r="16" spans="1:17" ht="12.75">
      <c r="A16" s="999" t="s">
        <v>84</v>
      </c>
      <c r="B16" s="989" t="s">
        <v>105</v>
      </c>
      <c r="C16" s="990" t="s">
        <v>105</v>
      </c>
      <c r="D16" s="994">
        <v>8</v>
      </c>
      <c r="E16" s="990" t="s">
        <v>105</v>
      </c>
      <c r="F16" s="989" t="s">
        <v>105</v>
      </c>
      <c r="G16" s="995" t="s">
        <v>105</v>
      </c>
      <c r="H16" s="989" t="s">
        <v>105</v>
      </c>
      <c r="I16" s="990">
        <v>2</v>
      </c>
      <c r="J16" s="997" t="s">
        <v>105</v>
      </c>
      <c r="K16" s="990" t="s">
        <v>105</v>
      </c>
      <c r="L16" s="990" t="s">
        <v>105</v>
      </c>
      <c r="M16" s="990" t="s">
        <v>105</v>
      </c>
      <c r="N16" s="994" t="s">
        <v>105</v>
      </c>
      <c r="O16" s="989" t="s">
        <v>105</v>
      </c>
      <c r="P16" s="995" t="s">
        <v>105</v>
      </c>
      <c r="Q16" s="998">
        <f aca="true" t="shared" si="0" ref="Q16:Q36">SUM(B16:P16)</f>
        <v>10</v>
      </c>
    </row>
    <row r="17" spans="1:17" ht="12.75">
      <c r="A17" s="999" t="s">
        <v>92</v>
      </c>
      <c r="B17" s="993">
        <v>56</v>
      </c>
      <c r="C17" s="990">
        <v>1</v>
      </c>
      <c r="D17" s="991" t="s">
        <v>105</v>
      </c>
      <c r="E17" s="997">
        <v>22</v>
      </c>
      <c r="F17" s="993">
        <v>17</v>
      </c>
      <c r="G17" s="995" t="s">
        <v>105</v>
      </c>
      <c r="H17" s="989">
        <v>3</v>
      </c>
      <c r="I17" s="1000">
        <v>4</v>
      </c>
      <c r="J17" s="997">
        <v>32</v>
      </c>
      <c r="K17" s="990" t="s">
        <v>105</v>
      </c>
      <c r="L17" s="994" t="s">
        <v>105</v>
      </c>
      <c r="M17" s="990" t="s">
        <v>105</v>
      </c>
      <c r="N17" s="994" t="s">
        <v>105</v>
      </c>
      <c r="O17" s="989" t="s">
        <v>105</v>
      </c>
      <c r="P17" s="992" t="s">
        <v>105</v>
      </c>
      <c r="Q17" s="998">
        <f t="shared" si="0"/>
        <v>135</v>
      </c>
    </row>
    <row r="18" spans="1:17" ht="12.75">
      <c r="A18" s="1022" t="s">
        <v>196</v>
      </c>
      <c r="B18" s="989">
        <v>0</v>
      </c>
      <c r="C18" s="990">
        <v>0</v>
      </c>
      <c r="D18" s="991">
        <v>0</v>
      </c>
      <c r="E18" s="997">
        <v>87</v>
      </c>
      <c r="F18" s="993">
        <v>8</v>
      </c>
      <c r="G18" s="995">
        <v>0</v>
      </c>
      <c r="H18" s="989">
        <v>0</v>
      </c>
      <c r="I18" s="1001">
        <v>303</v>
      </c>
      <c r="J18" s="997">
        <v>306</v>
      </c>
      <c r="K18" s="990">
        <v>0</v>
      </c>
      <c r="L18" s="994">
        <v>182</v>
      </c>
      <c r="M18" s="994">
        <v>32</v>
      </c>
      <c r="N18" s="994">
        <v>76</v>
      </c>
      <c r="O18" s="989">
        <v>0</v>
      </c>
      <c r="P18" s="992">
        <v>6</v>
      </c>
      <c r="Q18" s="998">
        <f t="shared" si="0"/>
        <v>1000</v>
      </c>
    </row>
    <row r="19" spans="1:17" ht="12.75">
      <c r="A19" s="999" t="s">
        <v>149</v>
      </c>
      <c r="B19" s="989" t="s">
        <v>105</v>
      </c>
      <c r="C19" s="990" t="s">
        <v>105</v>
      </c>
      <c r="D19" s="994" t="s">
        <v>105</v>
      </c>
      <c r="E19" s="990" t="s">
        <v>105</v>
      </c>
      <c r="F19" s="989">
        <v>20</v>
      </c>
      <c r="G19" s="992">
        <v>29</v>
      </c>
      <c r="H19" s="993" t="s">
        <v>105</v>
      </c>
      <c r="I19" s="1000">
        <v>209</v>
      </c>
      <c r="J19" s="997">
        <v>471</v>
      </c>
      <c r="K19" s="997" t="s">
        <v>105</v>
      </c>
      <c r="L19" s="994">
        <v>368</v>
      </c>
      <c r="M19" s="994">
        <v>75</v>
      </c>
      <c r="N19" s="994">
        <v>116</v>
      </c>
      <c r="O19" s="989" t="s">
        <v>105</v>
      </c>
      <c r="P19" s="995" t="s">
        <v>105</v>
      </c>
      <c r="Q19" s="998">
        <f t="shared" si="0"/>
        <v>1288</v>
      </c>
    </row>
    <row r="20" spans="1:17" ht="12.75">
      <c r="A20" s="1023" t="s">
        <v>86</v>
      </c>
      <c r="B20" s="993">
        <v>592</v>
      </c>
      <c r="C20" s="997">
        <v>29</v>
      </c>
      <c r="D20" s="991">
        <v>0</v>
      </c>
      <c r="E20" s="997">
        <v>1</v>
      </c>
      <c r="F20" s="993">
        <v>194</v>
      </c>
      <c r="G20" s="992">
        <v>220</v>
      </c>
      <c r="H20" s="989">
        <v>1</v>
      </c>
      <c r="I20" s="1000">
        <v>17</v>
      </c>
      <c r="J20" s="997">
        <v>903</v>
      </c>
      <c r="K20" s="990">
        <v>0</v>
      </c>
      <c r="L20" s="991">
        <v>0</v>
      </c>
      <c r="M20" s="991">
        <v>0</v>
      </c>
      <c r="N20" s="991">
        <v>0</v>
      </c>
      <c r="O20" s="989">
        <v>0</v>
      </c>
      <c r="P20" s="995">
        <v>0</v>
      </c>
      <c r="Q20" s="998">
        <f t="shared" si="0"/>
        <v>1957</v>
      </c>
    </row>
    <row r="21" spans="1:17" ht="12.75">
      <c r="A21" s="999" t="s">
        <v>189</v>
      </c>
      <c r="B21" s="993" t="s">
        <v>105</v>
      </c>
      <c r="C21" s="990" t="s">
        <v>105</v>
      </c>
      <c r="D21" s="994">
        <v>22</v>
      </c>
      <c r="E21" s="997" t="s">
        <v>105</v>
      </c>
      <c r="F21" s="989" t="s">
        <v>105</v>
      </c>
      <c r="G21" s="992" t="s">
        <v>105</v>
      </c>
      <c r="H21" s="989" t="s">
        <v>105</v>
      </c>
      <c r="I21" s="1000">
        <v>818</v>
      </c>
      <c r="J21" s="997">
        <v>67</v>
      </c>
      <c r="K21" s="997">
        <v>80</v>
      </c>
      <c r="L21" s="994">
        <v>494</v>
      </c>
      <c r="M21" s="994" t="s">
        <v>105</v>
      </c>
      <c r="N21" s="994" t="s">
        <v>105</v>
      </c>
      <c r="O21" s="989" t="s">
        <v>105</v>
      </c>
      <c r="P21" s="995" t="s">
        <v>105</v>
      </c>
      <c r="Q21" s="998">
        <f t="shared" si="0"/>
        <v>1481</v>
      </c>
    </row>
    <row r="22" spans="1:17" ht="12.75">
      <c r="A22" s="999" t="s">
        <v>312</v>
      </c>
      <c r="B22" s="993" t="s">
        <v>105</v>
      </c>
      <c r="C22" s="997">
        <v>5</v>
      </c>
      <c r="D22" s="994">
        <v>10</v>
      </c>
      <c r="E22" s="990" t="s">
        <v>105</v>
      </c>
      <c r="F22" s="989">
        <v>7</v>
      </c>
      <c r="G22" s="992" t="s">
        <v>105</v>
      </c>
      <c r="H22" s="989" t="s">
        <v>105</v>
      </c>
      <c r="I22" s="990">
        <v>304</v>
      </c>
      <c r="J22" s="990">
        <v>262</v>
      </c>
      <c r="K22" s="990" t="s">
        <v>105</v>
      </c>
      <c r="L22" s="990" t="s">
        <v>105</v>
      </c>
      <c r="M22" s="990" t="s">
        <v>105</v>
      </c>
      <c r="N22" s="994">
        <v>74</v>
      </c>
      <c r="O22" s="989" t="s">
        <v>105</v>
      </c>
      <c r="P22" s="995" t="s">
        <v>105</v>
      </c>
      <c r="Q22" s="998">
        <f t="shared" si="0"/>
        <v>662</v>
      </c>
    </row>
    <row r="23" spans="1:17" ht="12.75">
      <c r="A23" s="999" t="s">
        <v>190</v>
      </c>
      <c r="B23" s="993">
        <v>321</v>
      </c>
      <c r="C23" s="990">
        <v>2</v>
      </c>
      <c r="D23" s="994" t="s">
        <v>105</v>
      </c>
      <c r="E23" s="990" t="s">
        <v>105</v>
      </c>
      <c r="F23" s="989">
        <v>10</v>
      </c>
      <c r="G23" s="992" t="s">
        <v>105</v>
      </c>
      <c r="H23" s="989" t="s">
        <v>105</v>
      </c>
      <c r="I23" s="990" t="s">
        <v>105</v>
      </c>
      <c r="J23" s="990" t="s">
        <v>105</v>
      </c>
      <c r="K23" s="990" t="s">
        <v>105</v>
      </c>
      <c r="L23" s="990" t="s">
        <v>105</v>
      </c>
      <c r="M23" s="990" t="s">
        <v>105</v>
      </c>
      <c r="N23" s="991" t="s">
        <v>105</v>
      </c>
      <c r="O23" s="989" t="s">
        <v>105</v>
      </c>
      <c r="P23" s="995" t="s">
        <v>105</v>
      </c>
      <c r="Q23" s="998">
        <f t="shared" si="0"/>
        <v>333</v>
      </c>
    </row>
    <row r="24" spans="1:17" ht="12.75">
      <c r="A24" s="999" t="s">
        <v>403</v>
      </c>
      <c r="B24" s="993" t="s">
        <v>105</v>
      </c>
      <c r="C24" s="990" t="s">
        <v>105</v>
      </c>
      <c r="D24" s="994" t="s">
        <v>105</v>
      </c>
      <c r="E24" s="997">
        <v>3</v>
      </c>
      <c r="F24" s="989" t="s">
        <v>105</v>
      </c>
      <c r="G24" s="992" t="s">
        <v>105</v>
      </c>
      <c r="H24" s="989" t="s">
        <v>105</v>
      </c>
      <c r="I24" s="1000" t="s">
        <v>105</v>
      </c>
      <c r="J24" s="990" t="s">
        <v>105</v>
      </c>
      <c r="K24" s="990" t="s">
        <v>105</v>
      </c>
      <c r="L24" s="991" t="s">
        <v>105</v>
      </c>
      <c r="M24" s="991" t="s">
        <v>105</v>
      </c>
      <c r="N24" s="994" t="s">
        <v>105</v>
      </c>
      <c r="O24" s="993">
        <v>2</v>
      </c>
      <c r="P24" s="995" t="s">
        <v>105</v>
      </c>
      <c r="Q24" s="998">
        <f t="shared" si="0"/>
        <v>5</v>
      </c>
    </row>
    <row r="25" spans="1:17" ht="12.75">
      <c r="A25" s="999" t="s">
        <v>79</v>
      </c>
      <c r="B25" s="989">
        <v>24</v>
      </c>
      <c r="C25" s="990">
        <v>11</v>
      </c>
      <c r="D25" s="994" t="s">
        <v>105</v>
      </c>
      <c r="E25" s="990" t="s">
        <v>105</v>
      </c>
      <c r="F25" s="993" t="s">
        <v>105</v>
      </c>
      <c r="G25" s="992" t="s">
        <v>105</v>
      </c>
      <c r="H25" s="989" t="s">
        <v>105</v>
      </c>
      <c r="I25" s="1001">
        <v>306</v>
      </c>
      <c r="J25" s="997">
        <v>236</v>
      </c>
      <c r="K25" s="990">
        <v>47</v>
      </c>
      <c r="L25" s="1000" t="s">
        <v>105</v>
      </c>
      <c r="M25" s="1002">
        <v>19</v>
      </c>
      <c r="N25" s="994">
        <v>74</v>
      </c>
      <c r="O25" s="993">
        <v>4</v>
      </c>
      <c r="P25" s="992" t="s">
        <v>105</v>
      </c>
      <c r="Q25" s="998">
        <f t="shared" si="0"/>
        <v>721</v>
      </c>
    </row>
    <row r="26" spans="1:17" ht="12.75">
      <c r="A26" s="999" t="s">
        <v>191</v>
      </c>
      <c r="B26" s="993">
        <v>3</v>
      </c>
      <c r="C26" s="990" t="s">
        <v>105</v>
      </c>
      <c r="D26" s="994" t="s">
        <v>105</v>
      </c>
      <c r="E26" s="990" t="s">
        <v>105</v>
      </c>
      <c r="F26" s="989" t="s">
        <v>105</v>
      </c>
      <c r="G26" s="992" t="s">
        <v>105</v>
      </c>
      <c r="H26" s="989" t="s">
        <v>105</v>
      </c>
      <c r="I26" s="990" t="s">
        <v>105</v>
      </c>
      <c r="J26" s="990" t="s">
        <v>105</v>
      </c>
      <c r="K26" s="990" t="s">
        <v>105</v>
      </c>
      <c r="L26" s="990" t="s">
        <v>105</v>
      </c>
      <c r="M26" s="990" t="s">
        <v>105</v>
      </c>
      <c r="N26" s="991" t="s">
        <v>105</v>
      </c>
      <c r="O26" s="989" t="s">
        <v>105</v>
      </c>
      <c r="P26" s="995" t="s">
        <v>105</v>
      </c>
      <c r="Q26" s="998">
        <f t="shared" si="0"/>
        <v>3</v>
      </c>
    </row>
    <row r="27" spans="1:17" ht="12.75">
      <c r="A27" s="999" t="s">
        <v>85</v>
      </c>
      <c r="B27" s="993">
        <v>141</v>
      </c>
      <c r="C27" s="997">
        <v>68</v>
      </c>
      <c r="D27" s="994" t="s">
        <v>105</v>
      </c>
      <c r="E27" s="997">
        <v>410</v>
      </c>
      <c r="F27" s="993" t="s">
        <v>105</v>
      </c>
      <c r="G27" s="992" t="s">
        <v>105</v>
      </c>
      <c r="H27" s="989">
        <v>51</v>
      </c>
      <c r="I27" s="1000">
        <v>339</v>
      </c>
      <c r="J27" s="997">
        <v>1878</v>
      </c>
      <c r="K27" s="990" t="s">
        <v>105</v>
      </c>
      <c r="L27" s="990" t="s">
        <v>105</v>
      </c>
      <c r="M27" s="990" t="s">
        <v>105</v>
      </c>
      <c r="N27" s="991" t="s">
        <v>105</v>
      </c>
      <c r="O27" s="989" t="s">
        <v>105</v>
      </c>
      <c r="P27" s="995" t="s">
        <v>105</v>
      </c>
      <c r="Q27" s="998">
        <f t="shared" si="0"/>
        <v>2887</v>
      </c>
    </row>
    <row r="28" spans="1:17" ht="12.75">
      <c r="A28" s="999" t="s">
        <v>381</v>
      </c>
      <c r="B28" s="993">
        <v>186</v>
      </c>
      <c r="C28" s="997">
        <v>113</v>
      </c>
      <c r="D28" s="994">
        <v>10</v>
      </c>
      <c r="E28" s="997">
        <v>29</v>
      </c>
      <c r="F28" s="993">
        <v>137</v>
      </c>
      <c r="G28" s="992">
        <v>120</v>
      </c>
      <c r="H28" s="993" t="s">
        <v>105</v>
      </c>
      <c r="I28" s="1000">
        <v>50</v>
      </c>
      <c r="J28" s="997">
        <v>492</v>
      </c>
      <c r="K28" s="990" t="s">
        <v>105</v>
      </c>
      <c r="L28" s="990" t="s">
        <v>105</v>
      </c>
      <c r="M28" s="991" t="s">
        <v>105</v>
      </c>
      <c r="N28" s="994" t="s">
        <v>105</v>
      </c>
      <c r="O28" s="993">
        <v>2</v>
      </c>
      <c r="P28" s="995" t="s">
        <v>105</v>
      </c>
      <c r="Q28" s="998">
        <f t="shared" si="0"/>
        <v>1139</v>
      </c>
    </row>
    <row r="29" spans="1:17" ht="12.75">
      <c r="A29" s="999" t="s">
        <v>404</v>
      </c>
      <c r="B29" s="993">
        <v>5</v>
      </c>
      <c r="C29" s="997">
        <v>19</v>
      </c>
      <c r="D29" s="994">
        <v>24</v>
      </c>
      <c r="E29" s="990" t="s">
        <v>105</v>
      </c>
      <c r="F29" s="989" t="s">
        <v>105</v>
      </c>
      <c r="G29" s="995" t="s">
        <v>105</v>
      </c>
      <c r="H29" s="989" t="s">
        <v>105</v>
      </c>
      <c r="I29" s="1001">
        <v>499</v>
      </c>
      <c r="J29" s="997">
        <v>46</v>
      </c>
      <c r="K29" s="990" t="s">
        <v>105</v>
      </c>
      <c r="L29" s="990" t="s">
        <v>105</v>
      </c>
      <c r="M29" s="994" t="s">
        <v>105</v>
      </c>
      <c r="N29" s="994" t="s">
        <v>105</v>
      </c>
      <c r="O29" s="989" t="s">
        <v>105</v>
      </c>
      <c r="P29" s="995" t="s">
        <v>105</v>
      </c>
      <c r="Q29" s="998">
        <f t="shared" si="0"/>
        <v>593</v>
      </c>
    </row>
    <row r="30" spans="1:17" ht="12.75">
      <c r="A30" s="999" t="s">
        <v>77</v>
      </c>
      <c r="B30" s="993" t="s">
        <v>105</v>
      </c>
      <c r="C30" s="990">
        <v>30</v>
      </c>
      <c r="D30" s="991" t="s">
        <v>105</v>
      </c>
      <c r="E30" s="990" t="s">
        <v>105</v>
      </c>
      <c r="F30" s="989">
        <v>11</v>
      </c>
      <c r="G30" s="995" t="s">
        <v>105</v>
      </c>
      <c r="H30" s="989" t="s">
        <v>105</v>
      </c>
      <c r="I30" s="1001" t="s">
        <v>105</v>
      </c>
      <c r="J30" s="990" t="s">
        <v>105</v>
      </c>
      <c r="K30" s="990" t="s">
        <v>105</v>
      </c>
      <c r="L30" s="990" t="s">
        <v>105</v>
      </c>
      <c r="M30" s="991" t="s">
        <v>105</v>
      </c>
      <c r="N30" s="991" t="s">
        <v>105</v>
      </c>
      <c r="O30" s="989" t="s">
        <v>105</v>
      </c>
      <c r="P30" s="995" t="s">
        <v>105</v>
      </c>
      <c r="Q30" s="1003">
        <f t="shared" si="0"/>
        <v>41</v>
      </c>
    </row>
    <row r="31" spans="1:17" ht="12.75">
      <c r="A31" s="1022" t="s">
        <v>197</v>
      </c>
      <c r="B31" s="993">
        <v>614</v>
      </c>
      <c r="C31" s="997">
        <v>163</v>
      </c>
      <c r="D31" s="994">
        <v>0</v>
      </c>
      <c r="E31" s="997">
        <v>0</v>
      </c>
      <c r="F31" s="989">
        <v>0</v>
      </c>
      <c r="G31" s="995">
        <v>0</v>
      </c>
      <c r="H31" s="993">
        <v>0</v>
      </c>
      <c r="I31" s="1000">
        <v>13</v>
      </c>
      <c r="J31" s="997">
        <v>9</v>
      </c>
      <c r="K31" s="990">
        <v>0</v>
      </c>
      <c r="L31" s="990">
        <v>0</v>
      </c>
      <c r="M31" s="991">
        <v>0</v>
      </c>
      <c r="N31" s="991">
        <v>0</v>
      </c>
      <c r="O31" s="989">
        <v>0</v>
      </c>
      <c r="P31" s="995">
        <v>0</v>
      </c>
      <c r="Q31" s="998">
        <f t="shared" si="0"/>
        <v>799</v>
      </c>
    </row>
    <row r="32" spans="1:17" ht="12.75">
      <c r="A32" s="1024" t="s">
        <v>199</v>
      </c>
      <c r="B32" s="993">
        <v>44</v>
      </c>
      <c r="C32" s="990">
        <v>45</v>
      </c>
      <c r="D32" s="994">
        <v>18</v>
      </c>
      <c r="E32" s="997">
        <v>77</v>
      </c>
      <c r="F32" s="993">
        <v>36</v>
      </c>
      <c r="G32" s="995">
        <v>26</v>
      </c>
      <c r="H32" s="989">
        <v>0</v>
      </c>
      <c r="I32" s="1000">
        <v>836</v>
      </c>
      <c r="J32" s="997">
        <v>346</v>
      </c>
      <c r="K32" s="997">
        <v>0</v>
      </c>
      <c r="L32" s="994">
        <v>160</v>
      </c>
      <c r="M32" s="994">
        <v>106</v>
      </c>
      <c r="N32" s="994">
        <v>158</v>
      </c>
      <c r="O32" s="993">
        <v>53</v>
      </c>
      <c r="P32" s="992">
        <v>86</v>
      </c>
      <c r="Q32" s="998">
        <f t="shared" si="0"/>
        <v>1991</v>
      </c>
    </row>
    <row r="33" spans="1:17" ht="12.75">
      <c r="A33" s="999" t="s">
        <v>224</v>
      </c>
      <c r="B33" s="993">
        <v>135</v>
      </c>
      <c r="C33" s="997" t="s">
        <v>105</v>
      </c>
      <c r="D33" s="994" t="s">
        <v>105</v>
      </c>
      <c r="E33" s="997">
        <v>406</v>
      </c>
      <c r="F33" s="993" t="s">
        <v>105</v>
      </c>
      <c r="G33" s="992" t="s">
        <v>105</v>
      </c>
      <c r="H33" s="989" t="s">
        <v>105</v>
      </c>
      <c r="I33" s="1001">
        <v>5</v>
      </c>
      <c r="J33" s="990">
        <v>7</v>
      </c>
      <c r="K33" s="990" t="s">
        <v>105</v>
      </c>
      <c r="L33" s="991" t="s">
        <v>105</v>
      </c>
      <c r="M33" s="991" t="s">
        <v>105</v>
      </c>
      <c r="N33" s="991" t="s">
        <v>105</v>
      </c>
      <c r="O33" s="989" t="s">
        <v>105</v>
      </c>
      <c r="P33" s="995" t="s">
        <v>105</v>
      </c>
      <c r="Q33" s="998">
        <f t="shared" si="0"/>
        <v>553</v>
      </c>
    </row>
    <row r="34" spans="1:17" ht="12.75">
      <c r="A34" s="999" t="s">
        <v>225</v>
      </c>
      <c r="B34" s="993" t="s">
        <v>105</v>
      </c>
      <c r="C34" s="997" t="s">
        <v>105</v>
      </c>
      <c r="D34" s="994" t="s">
        <v>105</v>
      </c>
      <c r="E34" s="997" t="s">
        <v>105</v>
      </c>
      <c r="F34" s="993">
        <v>98</v>
      </c>
      <c r="G34" s="992" t="s">
        <v>105</v>
      </c>
      <c r="H34" s="989" t="s">
        <v>105</v>
      </c>
      <c r="I34" s="1001" t="s">
        <v>105</v>
      </c>
      <c r="J34" s="997" t="s">
        <v>105</v>
      </c>
      <c r="K34" s="990" t="s">
        <v>105</v>
      </c>
      <c r="L34" s="990" t="s">
        <v>105</v>
      </c>
      <c r="M34" s="990" t="s">
        <v>105</v>
      </c>
      <c r="N34" s="991" t="s">
        <v>105</v>
      </c>
      <c r="O34" s="989" t="s">
        <v>105</v>
      </c>
      <c r="P34" s="995" t="s">
        <v>105</v>
      </c>
      <c r="Q34" s="998">
        <f t="shared" si="0"/>
        <v>98</v>
      </c>
    </row>
    <row r="35" spans="1:17" ht="12.75">
      <c r="A35" s="999" t="s">
        <v>226</v>
      </c>
      <c r="B35" s="993">
        <v>473</v>
      </c>
      <c r="C35" s="997" t="s">
        <v>105</v>
      </c>
      <c r="D35" s="994" t="s">
        <v>105</v>
      </c>
      <c r="E35" s="997" t="s">
        <v>105</v>
      </c>
      <c r="F35" s="993">
        <v>479</v>
      </c>
      <c r="G35" s="992">
        <v>586</v>
      </c>
      <c r="H35" s="993">
        <v>28</v>
      </c>
      <c r="I35" s="1000">
        <v>32</v>
      </c>
      <c r="J35" s="997">
        <v>2368</v>
      </c>
      <c r="K35" s="990">
        <v>61</v>
      </c>
      <c r="L35" s="990" t="s">
        <v>105</v>
      </c>
      <c r="M35" s="990" t="s">
        <v>105</v>
      </c>
      <c r="N35" s="991" t="s">
        <v>105</v>
      </c>
      <c r="O35" s="989" t="s">
        <v>105</v>
      </c>
      <c r="P35" s="995" t="s">
        <v>105</v>
      </c>
      <c r="Q35" s="998">
        <f t="shared" si="0"/>
        <v>4027</v>
      </c>
    </row>
    <row r="36" spans="1:17" ht="12.75">
      <c r="A36" s="999" t="s">
        <v>139</v>
      </c>
      <c r="B36" s="993">
        <v>498</v>
      </c>
      <c r="C36" s="997">
        <v>506</v>
      </c>
      <c r="D36" s="994">
        <v>6</v>
      </c>
      <c r="E36" s="997" t="s">
        <v>105</v>
      </c>
      <c r="F36" s="993" t="s">
        <v>105</v>
      </c>
      <c r="G36" s="992" t="s">
        <v>105</v>
      </c>
      <c r="H36" s="989" t="s">
        <v>105</v>
      </c>
      <c r="I36" s="1000">
        <v>531</v>
      </c>
      <c r="J36" s="997">
        <v>30</v>
      </c>
      <c r="K36" s="997" t="s">
        <v>105</v>
      </c>
      <c r="L36" s="994">
        <v>228</v>
      </c>
      <c r="M36" s="994" t="s">
        <v>105</v>
      </c>
      <c r="N36" s="994" t="s">
        <v>105</v>
      </c>
      <c r="O36" s="989" t="s">
        <v>105</v>
      </c>
      <c r="P36" s="995" t="s">
        <v>105</v>
      </c>
      <c r="Q36" s="998">
        <f t="shared" si="0"/>
        <v>1799</v>
      </c>
    </row>
    <row r="37" spans="1:17" ht="12.75">
      <c r="A37" s="999" t="s">
        <v>74</v>
      </c>
      <c r="B37" s="993" t="s">
        <v>105</v>
      </c>
      <c r="C37" s="997" t="s">
        <v>105</v>
      </c>
      <c r="D37" s="994" t="s">
        <v>105</v>
      </c>
      <c r="E37" s="997" t="s">
        <v>105</v>
      </c>
      <c r="F37" s="993" t="s">
        <v>105</v>
      </c>
      <c r="G37" s="992" t="s">
        <v>105</v>
      </c>
      <c r="H37" s="989" t="s">
        <v>105</v>
      </c>
      <c r="I37" s="990" t="s">
        <v>105</v>
      </c>
      <c r="J37" s="990" t="s">
        <v>105</v>
      </c>
      <c r="K37" s="990" t="s">
        <v>105</v>
      </c>
      <c r="L37" s="990" t="s">
        <v>105</v>
      </c>
      <c r="M37" s="990" t="s">
        <v>105</v>
      </c>
      <c r="N37" s="991" t="s">
        <v>105</v>
      </c>
      <c r="O37" s="989" t="s">
        <v>105</v>
      </c>
      <c r="P37" s="995" t="s">
        <v>105</v>
      </c>
      <c r="Q37" s="998" t="s">
        <v>105</v>
      </c>
    </row>
    <row r="38" spans="1:17" ht="12.75">
      <c r="A38" s="999" t="s">
        <v>227</v>
      </c>
      <c r="B38" s="993" t="s">
        <v>105</v>
      </c>
      <c r="C38" s="997" t="s">
        <v>105</v>
      </c>
      <c r="D38" s="994" t="s">
        <v>105</v>
      </c>
      <c r="E38" s="997">
        <v>64</v>
      </c>
      <c r="F38" s="989" t="s">
        <v>105</v>
      </c>
      <c r="G38" s="992" t="s">
        <v>105</v>
      </c>
      <c r="H38" s="989" t="s">
        <v>105</v>
      </c>
      <c r="I38" s="990" t="s">
        <v>105</v>
      </c>
      <c r="J38" s="990" t="s">
        <v>105</v>
      </c>
      <c r="K38" s="990" t="s">
        <v>105</v>
      </c>
      <c r="L38" s="990" t="s">
        <v>105</v>
      </c>
      <c r="M38" s="990" t="s">
        <v>105</v>
      </c>
      <c r="N38" s="991" t="s">
        <v>105</v>
      </c>
      <c r="O38" s="989" t="s">
        <v>105</v>
      </c>
      <c r="P38" s="995" t="s">
        <v>105</v>
      </c>
      <c r="Q38" s="998">
        <f>SUM(B38:P38)</f>
        <v>64</v>
      </c>
    </row>
    <row r="39" spans="1:17" ht="12.75">
      <c r="A39" s="999" t="s">
        <v>72</v>
      </c>
      <c r="B39" s="993">
        <v>47</v>
      </c>
      <c r="C39" s="997">
        <v>232</v>
      </c>
      <c r="D39" s="994">
        <v>6</v>
      </c>
      <c r="E39" s="997" t="s">
        <v>105</v>
      </c>
      <c r="F39" s="993">
        <v>4</v>
      </c>
      <c r="G39" s="992">
        <v>10</v>
      </c>
      <c r="H39" s="989" t="s">
        <v>105</v>
      </c>
      <c r="I39" s="1001">
        <v>6</v>
      </c>
      <c r="J39" s="997">
        <v>66</v>
      </c>
      <c r="K39" s="990" t="s">
        <v>105</v>
      </c>
      <c r="L39" s="991" t="s">
        <v>105</v>
      </c>
      <c r="M39" s="991" t="s">
        <v>105</v>
      </c>
      <c r="N39" s="991" t="s">
        <v>105</v>
      </c>
      <c r="O39" s="989" t="s">
        <v>105</v>
      </c>
      <c r="P39" s="995" t="s">
        <v>105</v>
      </c>
      <c r="Q39" s="998">
        <f>SUM(B39:P39)</f>
        <v>371</v>
      </c>
    </row>
    <row r="40" spans="1:17" ht="12.75">
      <c r="A40" s="999" t="s">
        <v>192</v>
      </c>
      <c r="B40" s="993">
        <v>133</v>
      </c>
      <c r="C40" s="997" t="s">
        <v>105</v>
      </c>
      <c r="D40" s="994" t="s">
        <v>105</v>
      </c>
      <c r="E40" s="997" t="s">
        <v>105</v>
      </c>
      <c r="F40" s="989">
        <v>5</v>
      </c>
      <c r="G40" s="992" t="s">
        <v>105</v>
      </c>
      <c r="H40" s="989" t="s">
        <v>105</v>
      </c>
      <c r="I40" s="990" t="s">
        <v>105</v>
      </c>
      <c r="J40" s="990" t="s">
        <v>105</v>
      </c>
      <c r="K40" s="990" t="s">
        <v>105</v>
      </c>
      <c r="L40" s="990" t="s">
        <v>105</v>
      </c>
      <c r="M40" s="990" t="s">
        <v>105</v>
      </c>
      <c r="N40" s="991" t="s">
        <v>105</v>
      </c>
      <c r="O40" s="989" t="s">
        <v>105</v>
      </c>
      <c r="P40" s="995" t="s">
        <v>105</v>
      </c>
      <c r="Q40" s="998">
        <f>SUM(B40:P40)</f>
        <v>138</v>
      </c>
    </row>
    <row r="41" spans="1:17" ht="12.75">
      <c r="A41" s="999" t="s">
        <v>78</v>
      </c>
      <c r="B41" s="993" t="s">
        <v>105</v>
      </c>
      <c r="C41" s="997" t="s">
        <v>105</v>
      </c>
      <c r="D41" s="994" t="s">
        <v>105</v>
      </c>
      <c r="E41" s="997" t="s">
        <v>105</v>
      </c>
      <c r="F41" s="989" t="s">
        <v>105</v>
      </c>
      <c r="G41" s="992" t="s">
        <v>105</v>
      </c>
      <c r="H41" s="1001" t="s">
        <v>105</v>
      </c>
      <c r="I41" s="990" t="s">
        <v>105</v>
      </c>
      <c r="J41" s="990" t="s">
        <v>105</v>
      </c>
      <c r="K41" s="990" t="s">
        <v>105</v>
      </c>
      <c r="L41" s="990" t="s">
        <v>105</v>
      </c>
      <c r="M41" s="990" t="s">
        <v>105</v>
      </c>
      <c r="N41" s="1004" t="s">
        <v>105</v>
      </c>
      <c r="O41" s="989" t="s">
        <v>105</v>
      </c>
      <c r="P41" s="995" t="s">
        <v>105</v>
      </c>
      <c r="Q41" s="998" t="s">
        <v>105</v>
      </c>
    </row>
    <row r="42" spans="1:17" ht="12.75">
      <c r="A42" s="1024" t="s">
        <v>200</v>
      </c>
      <c r="B42" s="993">
        <v>0</v>
      </c>
      <c r="C42" s="997">
        <v>0</v>
      </c>
      <c r="D42" s="994">
        <v>0</v>
      </c>
      <c r="E42" s="997">
        <v>0</v>
      </c>
      <c r="F42" s="993">
        <v>7</v>
      </c>
      <c r="G42" s="992">
        <v>0</v>
      </c>
      <c r="H42" s="989">
        <v>0</v>
      </c>
      <c r="I42" s="990">
        <v>205</v>
      </c>
      <c r="J42" s="990">
        <v>0</v>
      </c>
      <c r="K42" s="990">
        <v>41</v>
      </c>
      <c r="L42" s="990">
        <v>27</v>
      </c>
      <c r="M42" s="990">
        <v>7</v>
      </c>
      <c r="N42" s="994">
        <v>37</v>
      </c>
      <c r="O42" s="989">
        <v>0</v>
      </c>
      <c r="P42" s="995">
        <v>0</v>
      </c>
      <c r="Q42" s="998">
        <f>SUM(B42:P42)</f>
        <v>324</v>
      </c>
    </row>
    <row r="43" spans="1:17" ht="12.75">
      <c r="A43" s="988" t="s">
        <v>405</v>
      </c>
      <c r="B43" s="993">
        <v>44</v>
      </c>
      <c r="C43" s="997">
        <v>3</v>
      </c>
      <c r="D43" s="994">
        <v>16</v>
      </c>
      <c r="E43" s="997">
        <v>15</v>
      </c>
      <c r="F43" s="993" t="s">
        <v>105</v>
      </c>
      <c r="G43" s="992" t="s">
        <v>105</v>
      </c>
      <c r="H43" s="989" t="s">
        <v>105</v>
      </c>
      <c r="I43" s="990">
        <v>157</v>
      </c>
      <c r="J43" s="997">
        <v>232</v>
      </c>
      <c r="K43" s="990" t="s">
        <v>105</v>
      </c>
      <c r="L43" s="990" t="s">
        <v>105</v>
      </c>
      <c r="M43" s="994">
        <v>18</v>
      </c>
      <c r="N43" s="994">
        <v>85</v>
      </c>
      <c r="O43" s="993">
        <v>10</v>
      </c>
      <c r="P43" s="992">
        <v>4</v>
      </c>
      <c r="Q43" s="998">
        <f>SUM(B43:P43)</f>
        <v>584</v>
      </c>
    </row>
    <row r="44" spans="1:17" ht="12.75">
      <c r="A44" s="988" t="s">
        <v>81</v>
      </c>
      <c r="B44" s="993">
        <v>46</v>
      </c>
      <c r="C44" s="997">
        <v>44</v>
      </c>
      <c r="D44" s="994" t="s">
        <v>105</v>
      </c>
      <c r="E44" s="997" t="s">
        <v>105</v>
      </c>
      <c r="F44" s="993">
        <v>111</v>
      </c>
      <c r="G44" s="992" t="s">
        <v>105</v>
      </c>
      <c r="H44" s="989">
        <v>2</v>
      </c>
      <c r="I44" s="1000" t="s">
        <v>105</v>
      </c>
      <c r="J44" s="990">
        <v>72</v>
      </c>
      <c r="K44" s="990" t="s">
        <v>105</v>
      </c>
      <c r="L44" s="990" t="s">
        <v>105</v>
      </c>
      <c r="M44" s="990" t="s">
        <v>105</v>
      </c>
      <c r="N44" s="991" t="s">
        <v>105</v>
      </c>
      <c r="O44" s="989" t="s">
        <v>105</v>
      </c>
      <c r="P44" s="995" t="s">
        <v>105</v>
      </c>
      <c r="Q44" s="998">
        <f>SUM(B44:P44)</f>
        <v>275</v>
      </c>
    </row>
    <row r="45" spans="1:17" ht="12.75">
      <c r="A45" s="988" t="s">
        <v>231</v>
      </c>
      <c r="B45" s="993">
        <v>1393</v>
      </c>
      <c r="C45" s="997">
        <v>7</v>
      </c>
      <c r="D45" s="991" t="s">
        <v>105</v>
      </c>
      <c r="E45" s="997">
        <v>1</v>
      </c>
      <c r="F45" s="993">
        <v>741</v>
      </c>
      <c r="G45" s="992" t="s">
        <v>105</v>
      </c>
      <c r="H45" s="993">
        <v>46</v>
      </c>
      <c r="I45" s="1000" t="s">
        <v>105</v>
      </c>
      <c r="J45" s="990" t="s">
        <v>105</v>
      </c>
      <c r="K45" s="990" t="s">
        <v>105</v>
      </c>
      <c r="L45" s="990" t="s">
        <v>105</v>
      </c>
      <c r="M45" s="990" t="s">
        <v>105</v>
      </c>
      <c r="N45" s="991" t="s">
        <v>105</v>
      </c>
      <c r="O45" s="989" t="s">
        <v>105</v>
      </c>
      <c r="P45" s="995" t="s">
        <v>105</v>
      </c>
      <c r="Q45" s="998">
        <f>SUM(B45:P45)</f>
        <v>2188</v>
      </c>
    </row>
    <row r="46" spans="1:17" ht="12.75">
      <c r="A46" s="988" t="s">
        <v>232</v>
      </c>
      <c r="B46" s="993">
        <v>363</v>
      </c>
      <c r="C46" s="997" t="s">
        <v>105</v>
      </c>
      <c r="D46" s="991" t="s">
        <v>105</v>
      </c>
      <c r="E46" s="997">
        <v>482</v>
      </c>
      <c r="F46" s="989" t="s">
        <v>105</v>
      </c>
      <c r="G46" s="992" t="s">
        <v>105</v>
      </c>
      <c r="H46" s="989">
        <v>10</v>
      </c>
      <c r="I46" s="990" t="s">
        <v>105</v>
      </c>
      <c r="J46" s="997" t="s">
        <v>105</v>
      </c>
      <c r="K46" s="990" t="s">
        <v>105</v>
      </c>
      <c r="L46" s="990" t="s">
        <v>105</v>
      </c>
      <c r="M46" s="990" t="s">
        <v>105</v>
      </c>
      <c r="N46" s="991" t="s">
        <v>105</v>
      </c>
      <c r="O46" s="989" t="s">
        <v>105</v>
      </c>
      <c r="P46" s="995" t="s">
        <v>105</v>
      </c>
      <c r="Q46" s="998">
        <f>SUM(B46:P46)</f>
        <v>855</v>
      </c>
    </row>
    <row r="47" spans="1:17" ht="12.75">
      <c r="A47" s="988" t="s">
        <v>88</v>
      </c>
      <c r="B47" s="993" t="s">
        <v>105</v>
      </c>
      <c r="C47" s="997" t="s">
        <v>105</v>
      </c>
      <c r="D47" s="991" t="s">
        <v>105</v>
      </c>
      <c r="E47" s="997" t="s">
        <v>105</v>
      </c>
      <c r="F47" s="989" t="s">
        <v>105</v>
      </c>
      <c r="G47" s="992" t="s">
        <v>105</v>
      </c>
      <c r="H47" s="989" t="s">
        <v>105</v>
      </c>
      <c r="I47" s="990" t="s">
        <v>105</v>
      </c>
      <c r="J47" s="990" t="s">
        <v>105</v>
      </c>
      <c r="K47" s="990" t="s">
        <v>105</v>
      </c>
      <c r="L47" s="990" t="s">
        <v>105</v>
      </c>
      <c r="M47" s="990" t="s">
        <v>105</v>
      </c>
      <c r="N47" s="991" t="s">
        <v>105</v>
      </c>
      <c r="O47" s="989" t="s">
        <v>105</v>
      </c>
      <c r="P47" s="995" t="s">
        <v>105</v>
      </c>
      <c r="Q47" s="998" t="s">
        <v>105</v>
      </c>
    </row>
    <row r="48" spans="1:17" ht="12.75">
      <c r="A48" s="988" t="s">
        <v>193</v>
      </c>
      <c r="B48" s="993">
        <v>2272</v>
      </c>
      <c r="C48" s="997">
        <v>103</v>
      </c>
      <c r="D48" s="991" t="s">
        <v>105</v>
      </c>
      <c r="E48" s="997" t="s">
        <v>105</v>
      </c>
      <c r="F48" s="989" t="s">
        <v>105</v>
      </c>
      <c r="G48" s="992" t="s">
        <v>105</v>
      </c>
      <c r="H48" s="989" t="s">
        <v>105</v>
      </c>
      <c r="I48" s="990" t="s">
        <v>105</v>
      </c>
      <c r="J48" s="990" t="s">
        <v>105</v>
      </c>
      <c r="K48" s="990" t="s">
        <v>105</v>
      </c>
      <c r="L48" s="990" t="s">
        <v>105</v>
      </c>
      <c r="M48" s="990" t="s">
        <v>105</v>
      </c>
      <c r="N48" s="991" t="s">
        <v>105</v>
      </c>
      <c r="O48" s="989" t="s">
        <v>105</v>
      </c>
      <c r="P48" s="995" t="s">
        <v>105</v>
      </c>
      <c r="Q48" s="998">
        <f>SUM(B48:P48)</f>
        <v>2375</v>
      </c>
    </row>
    <row r="49" spans="1:17" ht="12.75">
      <c r="A49" s="988" t="s">
        <v>406</v>
      </c>
      <c r="B49" s="993">
        <v>159</v>
      </c>
      <c r="C49" s="990">
        <v>6</v>
      </c>
      <c r="D49" s="994">
        <v>8</v>
      </c>
      <c r="E49" s="997">
        <v>162</v>
      </c>
      <c r="F49" s="993">
        <v>20</v>
      </c>
      <c r="G49" s="992">
        <v>50</v>
      </c>
      <c r="H49" s="989" t="s">
        <v>105</v>
      </c>
      <c r="I49" s="1000">
        <v>915</v>
      </c>
      <c r="J49" s="990">
        <v>636</v>
      </c>
      <c r="K49" s="997">
        <v>187</v>
      </c>
      <c r="L49" s="991">
        <v>624</v>
      </c>
      <c r="M49" s="994">
        <v>98</v>
      </c>
      <c r="N49" s="994">
        <v>137</v>
      </c>
      <c r="O49" s="993">
        <v>40</v>
      </c>
      <c r="P49" s="992">
        <v>52</v>
      </c>
      <c r="Q49" s="998">
        <f>SUM(B49:P49)</f>
        <v>3094</v>
      </c>
    </row>
    <row r="50" spans="1:17" ht="13.5" thickBot="1">
      <c r="A50" s="988" t="s">
        <v>407</v>
      </c>
      <c r="B50" s="993">
        <f>410+1</f>
        <v>411</v>
      </c>
      <c r="C50" s="997">
        <v>103</v>
      </c>
      <c r="D50" s="994">
        <f>10+8</f>
        <v>18</v>
      </c>
      <c r="E50" s="997">
        <v>88</v>
      </c>
      <c r="F50" s="993">
        <f>162+2+50+23</f>
        <v>237</v>
      </c>
      <c r="G50" s="992">
        <v>558</v>
      </c>
      <c r="H50" s="989">
        <f>16+1</f>
        <v>17</v>
      </c>
      <c r="I50" s="1001">
        <f>516+58+540+526+417+219</f>
        <v>2276</v>
      </c>
      <c r="J50" s="997">
        <f>44+238+2256+59+124+230+209+6+214</f>
        <v>3380</v>
      </c>
      <c r="K50" s="990">
        <f>58+193+80</f>
        <v>331</v>
      </c>
      <c r="L50" s="994">
        <f>234+312+58+234</f>
        <v>838</v>
      </c>
      <c r="M50" s="994">
        <f>12+25+88+18+28</f>
        <v>171</v>
      </c>
      <c r="N50" s="994">
        <f>32+76+91+33+85</f>
        <v>317</v>
      </c>
      <c r="O50" s="989" t="s">
        <v>105</v>
      </c>
      <c r="P50" s="992">
        <v>4</v>
      </c>
      <c r="Q50" s="998">
        <f>SUM(B50:P50)</f>
        <v>8749</v>
      </c>
    </row>
    <row r="51" spans="1:17" ht="14.25" thickBot="1" thickTop="1">
      <c r="A51" s="1025"/>
      <c r="B51" s="1028">
        <f>SUM(B10:B50)</f>
        <v>14154</v>
      </c>
      <c r="C51" s="1029">
        <f aca="true" t="shared" si="1" ref="C51:Q51">SUM(C10:C50)</f>
        <v>1676</v>
      </c>
      <c r="D51" s="1029">
        <f t="shared" si="1"/>
        <v>146</v>
      </c>
      <c r="E51" s="1030">
        <f t="shared" si="1"/>
        <v>3201</v>
      </c>
      <c r="F51" s="1026">
        <f t="shared" si="1"/>
        <v>2319</v>
      </c>
      <c r="G51" s="1030">
        <f t="shared" si="1"/>
        <v>1626</v>
      </c>
      <c r="H51" s="1026">
        <f t="shared" si="1"/>
        <v>175</v>
      </c>
      <c r="I51" s="1029">
        <f t="shared" si="1"/>
        <v>7842</v>
      </c>
      <c r="J51" s="1029">
        <f t="shared" si="1"/>
        <v>14036</v>
      </c>
      <c r="K51" s="1029">
        <f t="shared" si="1"/>
        <v>747</v>
      </c>
      <c r="L51" s="1029">
        <f t="shared" si="1"/>
        <v>2928</v>
      </c>
      <c r="M51" s="1029">
        <f t="shared" si="1"/>
        <v>535</v>
      </c>
      <c r="N51" s="1030">
        <f t="shared" si="1"/>
        <v>1084</v>
      </c>
      <c r="O51" s="1026">
        <f t="shared" si="1"/>
        <v>111</v>
      </c>
      <c r="P51" s="1030">
        <f t="shared" si="1"/>
        <v>152</v>
      </c>
      <c r="Q51" s="1027">
        <f t="shared" si="1"/>
        <v>50732</v>
      </c>
    </row>
    <row r="52" ht="13.5" thickTop="1"/>
  </sheetData>
  <sheetProtection/>
  <mergeCells count="23">
    <mergeCell ref="P8:P9"/>
    <mergeCell ref="J8:J9"/>
    <mergeCell ref="K8:K9"/>
    <mergeCell ref="L8:L9"/>
    <mergeCell ref="M8:M9"/>
    <mergeCell ref="N8:N9"/>
    <mergeCell ref="O8:O9"/>
    <mergeCell ref="B8:B9"/>
    <mergeCell ref="C8:C9"/>
    <mergeCell ref="E8:E9"/>
    <mergeCell ref="D8:D9"/>
    <mergeCell ref="F8:G8"/>
    <mergeCell ref="H8:H9"/>
    <mergeCell ref="I8:I9"/>
    <mergeCell ref="A1:Q1"/>
    <mergeCell ref="A4:Q4"/>
    <mergeCell ref="A5:Q5"/>
    <mergeCell ref="O6:Q6"/>
    <mergeCell ref="A7:A9"/>
    <mergeCell ref="B7:E7"/>
    <mergeCell ref="F7:N7"/>
    <mergeCell ref="O7:P7"/>
    <mergeCell ref="Q7:Q9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60"/>
  <sheetViews>
    <sheetView zoomScale="150" zoomScaleNormal="150" zoomScalePageLayoutView="0" workbookViewId="0" topLeftCell="A1">
      <selection activeCell="A1" sqref="A1"/>
      <selection activeCell="A1" sqref="A1:M1"/>
    </sheetView>
  </sheetViews>
  <sheetFormatPr defaultColWidth="9.140625" defaultRowHeight="12.75"/>
  <cols>
    <col min="1" max="1" width="13.57421875" style="723" customWidth="1"/>
    <col min="2" max="3" width="6.57421875" style="732" customWidth="1"/>
    <col min="4" max="4" width="5.8515625" style="732" customWidth="1"/>
    <col min="5" max="5" width="6.140625" style="732" customWidth="1"/>
    <col min="6" max="6" width="6.421875" style="732" customWidth="1"/>
    <col min="7" max="7" width="6.7109375" style="732" customWidth="1"/>
    <col min="8" max="8" width="5.7109375" style="732" customWidth="1"/>
    <col min="9" max="9" width="5.8515625" style="732" customWidth="1"/>
    <col min="10" max="10" width="7.00390625" style="733" customWidth="1"/>
    <col min="11" max="11" width="6.140625" style="733" customWidth="1"/>
    <col min="12" max="12" width="6.8515625" style="733" customWidth="1"/>
    <col min="13" max="13" width="9.57421875" style="733" customWidth="1"/>
    <col min="14" max="14" width="10.8515625" style="723" bestFit="1" customWidth="1"/>
    <col min="15" max="16384" width="9.140625" style="723" customWidth="1"/>
  </cols>
  <sheetData>
    <row r="1" spans="1:13" ht="18">
      <c r="A1" s="1251">
        <v>33</v>
      </c>
      <c r="B1" s="1251"/>
      <c r="C1" s="1251"/>
      <c r="D1" s="1251"/>
      <c r="E1" s="1251"/>
      <c r="F1" s="1251"/>
      <c r="G1" s="1251"/>
      <c r="H1" s="1251"/>
      <c r="I1" s="1251"/>
      <c r="J1" s="1251"/>
      <c r="K1" s="1251"/>
      <c r="L1" s="1251"/>
      <c r="M1" s="1251"/>
    </row>
    <row r="2" spans="1:13" s="724" customFormat="1" ht="15">
      <c r="A2" s="1254" t="s">
        <v>204</v>
      </c>
      <c r="B2" s="1254"/>
      <c r="C2" s="1254"/>
      <c r="D2" s="725"/>
      <c r="E2" s="725"/>
      <c r="F2" s="725"/>
      <c r="G2" s="725"/>
      <c r="H2" s="725"/>
      <c r="I2" s="725"/>
      <c r="J2" s="726"/>
      <c r="K2" s="726"/>
      <c r="L2" s="726"/>
      <c r="M2" s="726"/>
    </row>
    <row r="3" spans="1:13" s="724" customFormat="1" ht="9" customHeight="1">
      <c r="A3" s="735"/>
      <c r="B3" s="735"/>
      <c r="C3" s="735"/>
      <c r="D3" s="725"/>
      <c r="E3" s="725"/>
      <c r="F3" s="725"/>
      <c r="G3" s="725"/>
      <c r="H3" s="725"/>
      <c r="I3" s="725"/>
      <c r="J3" s="726"/>
      <c r="K3" s="726"/>
      <c r="L3" s="726"/>
      <c r="M3" s="726"/>
    </row>
    <row r="4" spans="1:13" s="724" customFormat="1" ht="32.25" customHeight="1">
      <c r="A4" s="1255" t="s">
        <v>306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5"/>
    </row>
    <row r="5" spans="1:13" s="724" customFormat="1" ht="16.5" customHeight="1">
      <c r="A5" s="1252" t="s">
        <v>307</v>
      </c>
      <c r="B5" s="1252"/>
      <c r="C5" s="1252"/>
      <c r="D5" s="1252"/>
      <c r="E5" s="1252"/>
      <c r="F5" s="1252"/>
      <c r="G5" s="1252"/>
      <c r="H5" s="1252"/>
      <c r="I5" s="1252"/>
      <c r="J5" s="1252"/>
      <c r="K5" s="1252"/>
      <c r="L5" s="1252"/>
      <c r="M5" s="1252"/>
    </row>
    <row r="6" spans="1:13" s="724" customFormat="1" ht="15.75" customHeight="1" thickBot="1">
      <c r="A6" s="727"/>
      <c r="B6" s="728"/>
      <c r="C6" s="728"/>
      <c r="D6" s="728"/>
      <c r="E6" s="728"/>
      <c r="F6" s="728"/>
      <c r="G6" s="728"/>
      <c r="H6" s="728"/>
      <c r="I6" s="728"/>
      <c r="J6" s="734"/>
      <c r="K6" s="734"/>
      <c r="L6" s="1253" t="s">
        <v>240</v>
      </c>
      <c r="M6" s="1253"/>
    </row>
    <row r="7" spans="1:13" s="724" customFormat="1" ht="38.25" customHeight="1" thickBot="1" thickTop="1">
      <c r="A7" s="736" t="s">
        <v>303</v>
      </c>
      <c r="B7" s="1031" t="s">
        <v>305</v>
      </c>
      <c r="C7" s="1032" t="s">
        <v>249</v>
      </c>
      <c r="D7" s="1032" t="s">
        <v>250</v>
      </c>
      <c r="E7" s="1032" t="s">
        <v>251</v>
      </c>
      <c r="F7" s="1041" t="s">
        <v>253</v>
      </c>
      <c r="G7" s="1042" t="s">
        <v>308</v>
      </c>
      <c r="H7" s="737" t="s">
        <v>254</v>
      </c>
      <c r="I7" s="737" t="s">
        <v>309</v>
      </c>
      <c r="J7" s="737" t="s">
        <v>256</v>
      </c>
      <c r="K7" s="738" t="s">
        <v>310</v>
      </c>
      <c r="L7" s="739" t="s">
        <v>258</v>
      </c>
      <c r="M7" s="740" t="s">
        <v>311</v>
      </c>
    </row>
    <row r="8" spans="1:13" s="724" customFormat="1" ht="21" customHeight="1" thickTop="1">
      <c r="A8" s="741" t="s">
        <v>87</v>
      </c>
      <c r="B8" s="1033">
        <v>196</v>
      </c>
      <c r="C8" s="1034">
        <v>44</v>
      </c>
      <c r="D8" s="1035" t="s">
        <v>105</v>
      </c>
      <c r="E8" s="1035" t="s">
        <v>105</v>
      </c>
      <c r="F8" s="1043" t="s">
        <v>105</v>
      </c>
      <c r="G8" s="1043" t="s">
        <v>105</v>
      </c>
      <c r="H8" s="527" t="s">
        <v>105</v>
      </c>
      <c r="I8" s="527" t="s">
        <v>105</v>
      </c>
      <c r="J8" s="527" t="s">
        <v>105</v>
      </c>
      <c r="K8" s="527" t="s">
        <v>105</v>
      </c>
      <c r="L8" s="729" t="s">
        <v>105</v>
      </c>
      <c r="M8" s="743">
        <f aca="true" t="shared" si="0" ref="M8:M13">SUM(B8:L8)</f>
        <v>240</v>
      </c>
    </row>
    <row r="9" spans="1:13" s="724" customFormat="1" ht="21" customHeight="1">
      <c r="A9" s="744" t="s">
        <v>84</v>
      </c>
      <c r="B9" s="1035" t="s">
        <v>105</v>
      </c>
      <c r="C9" s="1035" t="s">
        <v>105</v>
      </c>
      <c r="D9" s="1035" t="s">
        <v>105</v>
      </c>
      <c r="E9" s="1035" t="s">
        <v>105</v>
      </c>
      <c r="F9" s="1043" t="s">
        <v>105</v>
      </c>
      <c r="G9" s="1043" t="s">
        <v>105</v>
      </c>
      <c r="H9" s="527" t="s">
        <v>105</v>
      </c>
      <c r="I9" s="527" t="s">
        <v>105</v>
      </c>
      <c r="J9" s="527" t="s">
        <v>105</v>
      </c>
      <c r="K9" s="527" t="s">
        <v>105</v>
      </c>
      <c r="L9" s="745">
        <v>56</v>
      </c>
      <c r="M9" s="743">
        <f t="shared" si="0"/>
        <v>56</v>
      </c>
    </row>
    <row r="10" spans="1:14" s="724" customFormat="1" ht="21" customHeight="1">
      <c r="A10" s="741" t="s">
        <v>89</v>
      </c>
      <c r="B10" s="1033">
        <v>17364</v>
      </c>
      <c r="C10" s="1035">
        <v>28301</v>
      </c>
      <c r="D10" s="1036">
        <v>8480</v>
      </c>
      <c r="E10" s="1035">
        <v>3078</v>
      </c>
      <c r="F10" s="1043" t="s">
        <v>105</v>
      </c>
      <c r="G10" s="1043" t="s">
        <v>105</v>
      </c>
      <c r="H10" s="527">
        <v>1342</v>
      </c>
      <c r="I10" s="527">
        <v>857</v>
      </c>
      <c r="J10" s="527">
        <v>25041</v>
      </c>
      <c r="K10" s="729">
        <v>3841</v>
      </c>
      <c r="L10" s="746">
        <v>283</v>
      </c>
      <c r="M10" s="743">
        <f t="shared" si="0"/>
        <v>88587</v>
      </c>
      <c r="N10" s="747"/>
    </row>
    <row r="11" spans="1:14" s="724" customFormat="1" ht="21" customHeight="1">
      <c r="A11" s="741" t="s">
        <v>149</v>
      </c>
      <c r="B11" s="1033">
        <v>2907</v>
      </c>
      <c r="C11" s="1035">
        <v>1060</v>
      </c>
      <c r="D11" s="1035" t="s">
        <v>105</v>
      </c>
      <c r="E11" s="1035" t="s">
        <v>105</v>
      </c>
      <c r="F11" s="1043" t="s">
        <v>105</v>
      </c>
      <c r="G11" s="1043" t="s">
        <v>105</v>
      </c>
      <c r="H11" s="527" t="s">
        <v>105</v>
      </c>
      <c r="I11" s="527">
        <v>128</v>
      </c>
      <c r="J11" s="527" t="s">
        <v>105</v>
      </c>
      <c r="K11" s="527" t="s">
        <v>105</v>
      </c>
      <c r="L11" s="729" t="s">
        <v>105</v>
      </c>
      <c r="M11" s="743">
        <f t="shared" si="0"/>
        <v>4095</v>
      </c>
      <c r="N11" s="747"/>
    </row>
    <row r="12" spans="1:14" s="724" customFormat="1" ht="21" customHeight="1">
      <c r="A12" s="741" t="s">
        <v>86</v>
      </c>
      <c r="B12" s="1033">
        <v>3053</v>
      </c>
      <c r="C12" s="1035">
        <v>138</v>
      </c>
      <c r="D12" s="1035" t="s">
        <v>105</v>
      </c>
      <c r="E12" s="1035" t="s">
        <v>105</v>
      </c>
      <c r="F12" s="1044">
        <v>775</v>
      </c>
      <c r="G12" s="1043" t="s">
        <v>105</v>
      </c>
      <c r="H12" s="527">
        <v>141</v>
      </c>
      <c r="I12" s="527" t="s">
        <v>105</v>
      </c>
      <c r="J12" s="527" t="s">
        <v>105</v>
      </c>
      <c r="K12" s="527" t="s">
        <v>105</v>
      </c>
      <c r="L12" s="746">
        <v>357</v>
      </c>
      <c r="M12" s="743">
        <f t="shared" si="0"/>
        <v>4464</v>
      </c>
      <c r="N12" s="747"/>
    </row>
    <row r="13" spans="1:14" s="724" customFormat="1" ht="21" customHeight="1">
      <c r="A13" s="741" t="s">
        <v>73</v>
      </c>
      <c r="B13" s="1033">
        <v>150</v>
      </c>
      <c r="C13" s="1035">
        <v>410</v>
      </c>
      <c r="D13" s="1036">
        <v>2</v>
      </c>
      <c r="E13" s="1035">
        <v>12</v>
      </c>
      <c r="F13" s="1043" t="s">
        <v>105</v>
      </c>
      <c r="G13" s="1043" t="s">
        <v>105</v>
      </c>
      <c r="H13" s="527" t="s">
        <v>105</v>
      </c>
      <c r="I13" s="527" t="s">
        <v>105</v>
      </c>
      <c r="J13" s="527" t="s">
        <v>105</v>
      </c>
      <c r="K13" s="527" t="s">
        <v>105</v>
      </c>
      <c r="L13" s="729" t="s">
        <v>105</v>
      </c>
      <c r="M13" s="743">
        <f t="shared" si="0"/>
        <v>574</v>
      </c>
      <c r="N13" s="747"/>
    </row>
    <row r="14" spans="1:14" s="724" customFormat="1" ht="21" customHeight="1">
      <c r="A14" s="741" t="s">
        <v>312</v>
      </c>
      <c r="B14" s="1035" t="s">
        <v>105</v>
      </c>
      <c r="C14" s="1035" t="s">
        <v>105</v>
      </c>
      <c r="D14" s="1035" t="s">
        <v>105</v>
      </c>
      <c r="E14" s="1035" t="s">
        <v>105</v>
      </c>
      <c r="F14" s="1043" t="s">
        <v>105</v>
      </c>
      <c r="G14" s="1043" t="s">
        <v>105</v>
      </c>
      <c r="H14" s="527" t="s">
        <v>105</v>
      </c>
      <c r="I14" s="527" t="s">
        <v>105</v>
      </c>
      <c r="J14" s="527" t="s">
        <v>105</v>
      </c>
      <c r="K14" s="527" t="s">
        <v>105</v>
      </c>
      <c r="L14" s="729" t="s">
        <v>105</v>
      </c>
      <c r="M14" s="743" t="s">
        <v>105</v>
      </c>
      <c r="N14" s="747"/>
    </row>
    <row r="15" spans="1:14" s="724" customFormat="1" ht="21" customHeight="1">
      <c r="A15" s="741" t="s">
        <v>79</v>
      </c>
      <c r="B15" s="1035" t="s">
        <v>105</v>
      </c>
      <c r="C15" s="1035" t="s">
        <v>105</v>
      </c>
      <c r="D15" s="1035" t="s">
        <v>105</v>
      </c>
      <c r="E15" s="1035" t="s">
        <v>105</v>
      </c>
      <c r="F15" s="1043" t="s">
        <v>105</v>
      </c>
      <c r="G15" s="1043" t="s">
        <v>105</v>
      </c>
      <c r="H15" s="527" t="s">
        <v>105</v>
      </c>
      <c r="I15" s="527" t="s">
        <v>105</v>
      </c>
      <c r="J15" s="527" t="s">
        <v>105</v>
      </c>
      <c r="K15" s="527" t="s">
        <v>105</v>
      </c>
      <c r="L15" s="746">
        <v>62</v>
      </c>
      <c r="M15" s="743">
        <f aca="true" t="shared" si="1" ref="M15:M20">SUM(B15:L15)</f>
        <v>62</v>
      </c>
      <c r="N15" s="747"/>
    </row>
    <row r="16" spans="1:14" s="724" customFormat="1" ht="21" customHeight="1">
      <c r="A16" s="741" t="s">
        <v>75</v>
      </c>
      <c r="B16" s="1033">
        <v>166</v>
      </c>
      <c r="C16" s="1035">
        <v>6</v>
      </c>
      <c r="D16" s="1035" t="s">
        <v>105</v>
      </c>
      <c r="E16" s="1035" t="s">
        <v>105</v>
      </c>
      <c r="F16" s="1044">
        <v>293</v>
      </c>
      <c r="G16" s="1043">
        <v>60</v>
      </c>
      <c r="H16" s="527" t="s">
        <v>105</v>
      </c>
      <c r="I16" s="527" t="s">
        <v>105</v>
      </c>
      <c r="J16" s="527" t="s">
        <v>105</v>
      </c>
      <c r="K16" s="527" t="s">
        <v>105</v>
      </c>
      <c r="L16" s="746">
        <v>9</v>
      </c>
      <c r="M16" s="743">
        <f t="shared" si="1"/>
        <v>534</v>
      </c>
      <c r="N16" s="747"/>
    </row>
    <row r="17" spans="1:14" s="724" customFormat="1" ht="21" customHeight="1">
      <c r="A17" s="741" t="s">
        <v>85</v>
      </c>
      <c r="B17" s="1035" t="s">
        <v>105</v>
      </c>
      <c r="C17" s="1035" t="s">
        <v>105</v>
      </c>
      <c r="D17" s="1035" t="s">
        <v>105</v>
      </c>
      <c r="E17" s="1035" t="s">
        <v>105</v>
      </c>
      <c r="F17" s="1043" t="s">
        <v>105</v>
      </c>
      <c r="G17" s="1043" t="s">
        <v>105</v>
      </c>
      <c r="H17" s="527" t="s">
        <v>105</v>
      </c>
      <c r="I17" s="527" t="s">
        <v>105</v>
      </c>
      <c r="J17" s="527" t="s">
        <v>105</v>
      </c>
      <c r="K17" s="527" t="s">
        <v>105</v>
      </c>
      <c r="L17" s="746">
        <v>52</v>
      </c>
      <c r="M17" s="743">
        <f t="shared" si="1"/>
        <v>52</v>
      </c>
      <c r="N17" s="747"/>
    </row>
    <row r="18" spans="1:14" s="724" customFormat="1" ht="21" customHeight="1">
      <c r="A18" s="741" t="s">
        <v>313</v>
      </c>
      <c r="B18" s="1035" t="s">
        <v>105</v>
      </c>
      <c r="C18" s="1035" t="s">
        <v>105</v>
      </c>
      <c r="D18" s="1035" t="s">
        <v>105</v>
      </c>
      <c r="E18" s="1035" t="s">
        <v>105</v>
      </c>
      <c r="F18" s="1043" t="s">
        <v>105</v>
      </c>
      <c r="G18" s="1043" t="s">
        <v>105</v>
      </c>
      <c r="H18" s="527" t="s">
        <v>105</v>
      </c>
      <c r="I18" s="527" t="s">
        <v>105</v>
      </c>
      <c r="J18" s="527" t="s">
        <v>105</v>
      </c>
      <c r="K18" s="527" t="s">
        <v>105</v>
      </c>
      <c r="L18" s="746">
        <v>174</v>
      </c>
      <c r="M18" s="743">
        <f t="shared" si="1"/>
        <v>174</v>
      </c>
      <c r="N18" s="747"/>
    </row>
    <row r="19" spans="1:14" s="724" customFormat="1" ht="21" customHeight="1">
      <c r="A19" s="741" t="s">
        <v>82</v>
      </c>
      <c r="B19" s="1035" t="s">
        <v>105</v>
      </c>
      <c r="C19" s="1035" t="s">
        <v>105</v>
      </c>
      <c r="D19" s="1035" t="s">
        <v>105</v>
      </c>
      <c r="E19" s="1035" t="s">
        <v>105</v>
      </c>
      <c r="F19" s="1043" t="s">
        <v>105</v>
      </c>
      <c r="G19" s="1043" t="s">
        <v>105</v>
      </c>
      <c r="H19" s="527" t="s">
        <v>105</v>
      </c>
      <c r="I19" s="527" t="s">
        <v>105</v>
      </c>
      <c r="J19" s="527" t="s">
        <v>105</v>
      </c>
      <c r="K19" s="527" t="s">
        <v>105</v>
      </c>
      <c r="L19" s="746">
        <v>100</v>
      </c>
      <c r="M19" s="743">
        <f t="shared" si="1"/>
        <v>100</v>
      </c>
      <c r="N19" s="747"/>
    </row>
    <row r="20" spans="1:14" s="724" customFormat="1" ht="21" customHeight="1">
      <c r="A20" s="741" t="s">
        <v>197</v>
      </c>
      <c r="B20" s="1035" t="s">
        <v>105</v>
      </c>
      <c r="C20" s="1035" t="s">
        <v>105</v>
      </c>
      <c r="D20" s="1035" t="s">
        <v>105</v>
      </c>
      <c r="E20" s="1035" t="s">
        <v>105</v>
      </c>
      <c r="F20" s="1043" t="s">
        <v>105</v>
      </c>
      <c r="G20" s="1043" t="s">
        <v>105</v>
      </c>
      <c r="H20" s="527" t="s">
        <v>105</v>
      </c>
      <c r="I20" s="527" t="s">
        <v>105</v>
      </c>
      <c r="J20" s="527" t="s">
        <v>105</v>
      </c>
      <c r="K20" s="527" t="s">
        <v>105</v>
      </c>
      <c r="L20" s="746">
        <v>94</v>
      </c>
      <c r="M20" s="743">
        <f t="shared" si="1"/>
        <v>94</v>
      </c>
      <c r="N20" s="747"/>
    </row>
    <row r="21" spans="1:14" s="724" customFormat="1" ht="21" customHeight="1">
      <c r="A21" s="741" t="s">
        <v>225</v>
      </c>
      <c r="B21" s="1035" t="s">
        <v>105</v>
      </c>
      <c r="C21" s="1035" t="s">
        <v>105</v>
      </c>
      <c r="D21" s="1035" t="s">
        <v>105</v>
      </c>
      <c r="E21" s="1035" t="s">
        <v>105</v>
      </c>
      <c r="F21" s="1043" t="s">
        <v>105</v>
      </c>
      <c r="G21" s="1043" t="s">
        <v>105</v>
      </c>
      <c r="H21" s="527" t="s">
        <v>105</v>
      </c>
      <c r="I21" s="527" t="s">
        <v>105</v>
      </c>
      <c r="J21" s="527" t="s">
        <v>105</v>
      </c>
      <c r="K21" s="527" t="s">
        <v>105</v>
      </c>
      <c r="L21" s="527" t="s">
        <v>105</v>
      </c>
      <c r="M21" s="743" t="s">
        <v>105</v>
      </c>
      <c r="N21" s="747"/>
    </row>
    <row r="22" spans="1:14" s="724" customFormat="1" ht="21" customHeight="1">
      <c r="A22" s="741" t="s">
        <v>139</v>
      </c>
      <c r="B22" s="1033">
        <v>5084</v>
      </c>
      <c r="C22" s="1035">
        <v>14900</v>
      </c>
      <c r="D22" s="1036">
        <v>152</v>
      </c>
      <c r="E22" s="1034">
        <v>14</v>
      </c>
      <c r="F22" s="1044">
        <v>753</v>
      </c>
      <c r="G22" s="1043">
        <v>58</v>
      </c>
      <c r="H22" s="527">
        <v>582</v>
      </c>
      <c r="I22" s="527">
        <v>415</v>
      </c>
      <c r="J22" s="527" t="s">
        <v>105</v>
      </c>
      <c r="K22" s="527" t="s">
        <v>105</v>
      </c>
      <c r="L22" s="746">
        <v>2184</v>
      </c>
      <c r="M22" s="743">
        <f aca="true" t="shared" si="2" ref="M22:M29">SUM(B22:L22)</f>
        <v>24142</v>
      </c>
      <c r="N22" s="747"/>
    </row>
    <row r="23" spans="1:14" s="724" customFormat="1" ht="21" customHeight="1">
      <c r="A23" s="741" t="s">
        <v>74</v>
      </c>
      <c r="B23" s="1033">
        <v>194</v>
      </c>
      <c r="C23" s="1035">
        <v>179</v>
      </c>
      <c r="D23" s="1035" t="s">
        <v>105</v>
      </c>
      <c r="E23" s="1035" t="s">
        <v>105</v>
      </c>
      <c r="F23" s="1044">
        <v>35</v>
      </c>
      <c r="G23" s="1043">
        <v>14</v>
      </c>
      <c r="H23" s="527" t="s">
        <v>105</v>
      </c>
      <c r="I23" s="527" t="s">
        <v>105</v>
      </c>
      <c r="J23" s="527" t="s">
        <v>105</v>
      </c>
      <c r="K23" s="527" t="s">
        <v>105</v>
      </c>
      <c r="L23" s="746">
        <v>3</v>
      </c>
      <c r="M23" s="743">
        <f t="shared" si="2"/>
        <v>425</v>
      </c>
      <c r="N23" s="747"/>
    </row>
    <row r="24" spans="1:14" s="724" customFormat="1" ht="21" customHeight="1">
      <c r="A24" s="741" t="s">
        <v>148</v>
      </c>
      <c r="B24" s="1033">
        <v>7272</v>
      </c>
      <c r="C24" s="1035">
        <v>2875</v>
      </c>
      <c r="D24" s="1036">
        <v>103</v>
      </c>
      <c r="E24" s="1035">
        <v>2094</v>
      </c>
      <c r="F24" s="1043" t="s">
        <v>105</v>
      </c>
      <c r="G24" s="1043" t="s">
        <v>105</v>
      </c>
      <c r="H24" s="527" t="s">
        <v>105</v>
      </c>
      <c r="I24" s="527">
        <v>55</v>
      </c>
      <c r="J24" s="527" t="s">
        <v>105</v>
      </c>
      <c r="K24" s="527" t="s">
        <v>105</v>
      </c>
      <c r="L24" s="729" t="s">
        <v>105</v>
      </c>
      <c r="M24" s="743">
        <f t="shared" si="2"/>
        <v>12399</v>
      </c>
      <c r="N24" s="747"/>
    </row>
    <row r="25" spans="1:14" s="724" customFormat="1" ht="21" customHeight="1">
      <c r="A25" s="741" t="s">
        <v>80</v>
      </c>
      <c r="B25" s="1033">
        <v>19</v>
      </c>
      <c r="C25" s="1035">
        <v>128</v>
      </c>
      <c r="D25" s="1035" t="s">
        <v>105</v>
      </c>
      <c r="E25" s="1035" t="s">
        <v>105</v>
      </c>
      <c r="F25" s="1043" t="s">
        <v>105</v>
      </c>
      <c r="G25" s="1043" t="s">
        <v>105</v>
      </c>
      <c r="H25" s="527" t="s">
        <v>105</v>
      </c>
      <c r="I25" s="527">
        <v>115</v>
      </c>
      <c r="J25" s="527">
        <v>3165</v>
      </c>
      <c r="K25" s="729">
        <v>204</v>
      </c>
      <c r="L25" s="527" t="s">
        <v>105</v>
      </c>
      <c r="M25" s="743">
        <f t="shared" si="2"/>
        <v>3631</v>
      </c>
      <c r="N25" s="747"/>
    </row>
    <row r="26" spans="1:14" s="724" customFormat="1" ht="21" customHeight="1">
      <c r="A26" s="744" t="s">
        <v>227</v>
      </c>
      <c r="B26" s="1035" t="s">
        <v>105</v>
      </c>
      <c r="C26" s="1035" t="s">
        <v>105</v>
      </c>
      <c r="D26" s="1035" t="s">
        <v>105</v>
      </c>
      <c r="E26" s="1035" t="s">
        <v>105</v>
      </c>
      <c r="F26" s="1043" t="s">
        <v>105</v>
      </c>
      <c r="G26" s="1043" t="s">
        <v>105</v>
      </c>
      <c r="H26" s="527" t="s">
        <v>105</v>
      </c>
      <c r="I26" s="527" t="s">
        <v>105</v>
      </c>
      <c r="J26" s="527" t="s">
        <v>105</v>
      </c>
      <c r="K26" s="527" t="s">
        <v>105</v>
      </c>
      <c r="L26" s="745">
        <v>1968</v>
      </c>
      <c r="M26" s="748">
        <f t="shared" si="2"/>
        <v>1968</v>
      </c>
      <c r="N26" s="747"/>
    </row>
    <row r="27" spans="1:14" s="724" customFormat="1" ht="21" customHeight="1">
      <c r="A27" s="741" t="s">
        <v>72</v>
      </c>
      <c r="B27" s="1033">
        <v>164</v>
      </c>
      <c r="C27" s="1035" t="s">
        <v>105</v>
      </c>
      <c r="D27" s="1035" t="s">
        <v>105</v>
      </c>
      <c r="E27" s="1035" t="s">
        <v>105</v>
      </c>
      <c r="F27" s="1044">
        <v>1322</v>
      </c>
      <c r="G27" s="1043">
        <v>6</v>
      </c>
      <c r="H27" s="527" t="s">
        <v>105</v>
      </c>
      <c r="I27" s="527" t="s">
        <v>105</v>
      </c>
      <c r="J27" s="527" t="s">
        <v>105</v>
      </c>
      <c r="K27" s="527" t="s">
        <v>105</v>
      </c>
      <c r="L27" s="746">
        <v>649</v>
      </c>
      <c r="M27" s="743">
        <f t="shared" si="2"/>
        <v>2141</v>
      </c>
      <c r="N27" s="747"/>
    </row>
    <row r="28" spans="1:14" s="724" customFormat="1" ht="21" customHeight="1">
      <c r="A28" s="741" t="s">
        <v>314</v>
      </c>
      <c r="B28" s="1035" t="s">
        <v>105</v>
      </c>
      <c r="C28" s="1035" t="s">
        <v>105</v>
      </c>
      <c r="D28" s="1035" t="s">
        <v>105</v>
      </c>
      <c r="E28" s="1035" t="s">
        <v>105</v>
      </c>
      <c r="F28" s="1043" t="s">
        <v>105</v>
      </c>
      <c r="G28" s="1043" t="s">
        <v>105</v>
      </c>
      <c r="H28" s="527" t="s">
        <v>105</v>
      </c>
      <c r="I28" s="527" t="s">
        <v>105</v>
      </c>
      <c r="J28" s="527" t="s">
        <v>105</v>
      </c>
      <c r="K28" s="527" t="s">
        <v>105</v>
      </c>
      <c r="L28" s="746">
        <v>32</v>
      </c>
      <c r="M28" s="743">
        <f t="shared" si="2"/>
        <v>32</v>
      </c>
      <c r="N28" s="747"/>
    </row>
    <row r="29" spans="1:14" s="724" customFormat="1" ht="21" customHeight="1">
      <c r="A29" s="741" t="s">
        <v>202</v>
      </c>
      <c r="B29" s="1035" t="s">
        <v>105</v>
      </c>
      <c r="C29" s="1035" t="s">
        <v>105</v>
      </c>
      <c r="D29" s="1035" t="s">
        <v>105</v>
      </c>
      <c r="E29" s="1035" t="s">
        <v>105</v>
      </c>
      <c r="F29" s="1043" t="s">
        <v>105</v>
      </c>
      <c r="G29" s="1043" t="s">
        <v>105</v>
      </c>
      <c r="H29" s="527" t="s">
        <v>105</v>
      </c>
      <c r="I29" s="527" t="s">
        <v>105</v>
      </c>
      <c r="J29" s="527" t="s">
        <v>105</v>
      </c>
      <c r="K29" s="527" t="s">
        <v>105</v>
      </c>
      <c r="L29" s="746">
        <v>39</v>
      </c>
      <c r="M29" s="743">
        <f t="shared" si="2"/>
        <v>39</v>
      </c>
      <c r="N29" s="747"/>
    </row>
    <row r="30" spans="1:14" s="724" customFormat="1" ht="21" customHeight="1">
      <c r="A30" s="741" t="s">
        <v>68</v>
      </c>
      <c r="B30" s="1035" t="s">
        <v>105</v>
      </c>
      <c r="C30" s="1035" t="s">
        <v>105</v>
      </c>
      <c r="D30" s="1035" t="s">
        <v>105</v>
      </c>
      <c r="E30" s="1035" t="s">
        <v>105</v>
      </c>
      <c r="F30" s="1043" t="s">
        <v>105</v>
      </c>
      <c r="G30" s="1043" t="s">
        <v>105</v>
      </c>
      <c r="H30" s="527" t="s">
        <v>105</v>
      </c>
      <c r="I30" s="527" t="s">
        <v>105</v>
      </c>
      <c r="J30" s="527" t="s">
        <v>105</v>
      </c>
      <c r="K30" s="527" t="s">
        <v>105</v>
      </c>
      <c r="L30" s="729" t="s">
        <v>105</v>
      </c>
      <c r="M30" s="743" t="s">
        <v>105</v>
      </c>
      <c r="N30" s="747"/>
    </row>
    <row r="31" spans="1:14" s="724" customFormat="1" ht="21" customHeight="1">
      <c r="A31" s="741" t="s">
        <v>78</v>
      </c>
      <c r="B31" s="1033">
        <v>9</v>
      </c>
      <c r="C31" s="1035" t="s">
        <v>105</v>
      </c>
      <c r="D31" s="1035" t="s">
        <v>105</v>
      </c>
      <c r="E31" s="1035" t="s">
        <v>105</v>
      </c>
      <c r="F31" s="1045">
        <v>7</v>
      </c>
      <c r="G31" s="1043" t="s">
        <v>105</v>
      </c>
      <c r="H31" s="527" t="s">
        <v>105</v>
      </c>
      <c r="I31" s="527" t="s">
        <v>105</v>
      </c>
      <c r="J31" s="527" t="s">
        <v>105</v>
      </c>
      <c r="K31" s="527" t="s">
        <v>105</v>
      </c>
      <c r="L31" s="746">
        <v>63</v>
      </c>
      <c r="M31" s="743">
        <f aca="true" t="shared" si="3" ref="M31:M37">SUM(B31:L31)</f>
        <v>79</v>
      </c>
      <c r="N31" s="747"/>
    </row>
    <row r="32" spans="1:14" s="724" customFormat="1" ht="21" customHeight="1">
      <c r="A32" s="741" t="s">
        <v>150</v>
      </c>
      <c r="B32" s="1033">
        <v>1232</v>
      </c>
      <c r="C32" s="1035">
        <v>1688</v>
      </c>
      <c r="D32" s="1036">
        <v>872</v>
      </c>
      <c r="E32" s="1035">
        <v>94</v>
      </c>
      <c r="F32" s="1043" t="s">
        <v>105</v>
      </c>
      <c r="G32" s="1043" t="s">
        <v>105</v>
      </c>
      <c r="H32" s="527" t="s">
        <v>105</v>
      </c>
      <c r="I32" s="527">
        <v>331</v>
      </c>
      <c r="J32" s="527" t="s">
        <v>105</v>
      </c>
      <c r="K32" s="527" t="s">
        <v>105</v>
      </c>
      <c r="L32" s="729" t="s">
        <v>105</v>
      </c>
      <c r="M32" s="743">
        <f t="shared" si="3"/>
        <v>4217</v>
      </c>
      <c r="N32" s="747"/>
    </row>
    <row r="33" spans="1:14" s="724" customFormat="1" ht="21" customHeight="1">
      <c r="A33" s="741" t="s">
        <v>315</v>
      </c>
      <c r="B33" s="1035" t="s">
        <v>105</v>
      </c>
      <c r="C33" s="1035" t="s">
        <v>105</v>
      </c>
      <c r="D33" s="1035" t="s">
        <v>105</v>
      </c>
      <c r="E33" s="1035" t="s">
        <v>105</v>
      </c>
      <c r="F33" s="1043" t="s">
        <v>105</v>
      </c>
      <c r="G33" s="1043" t="s">
        <v>105</v>
      </c>
      <c r="H33" s="527" t="s">
        <v>105</v>
      </c>
      <c r="I33" s="527" t="s">
        <v>105</v>
      </c>
      <c r="J33" s="527" t="s">
        <v>105</v>
      </c>
      <c r="K33" s="527" t="s">
        <v>105</v>
      </c>
      <c r="L33" s="746">
        <v>26</v>
      </c>
      <c r="M33" s="743">
        <f t="shared" si="3"/>
        <v>26</v>
      </c>
      <c r="N33" s="747"/>
    </row>
    <row r="34" spans="1:14" s="724" customFormat="1" ht="21" customHeight="1">
      <c r="A34" s="741" t="s">
        <v>70</v>
      </c>
      <c r="B34" s="1033">
        <v>75</v>
      </c>
      <c r="C34" s="1035" t="s">
        <v>105</v>
      </c>
      <c r="D34" s="1035" t="s">
        <v>105</v>
      </c>
      <c r="E34" s="1035" t="s">
        <v>105</v>
      </c>
      <c r="F34" s="1044">
        <v>168</v>
      </c>
      <c r="G34" s="1043">
        <v>2</v>
      </c>
      <c r="H34" s="527">
        <v>835</v>
      </c>
      <c r="I34" s="527" t="s">
        <v>105</v>
      </c>
      <c r="J34" s="527" t="s">
        <v>105</v>
      </c>
      <c r="K34" s="527" t="s">
        <v>105</v>
      </c>
      <c r="L34" s="746">
        <v>36</v>
      </c>
      <c r="M34" s="743">
        <f t="shared" si="3"/>
        <v>1116</v>
      </c>
      <c r="N34" s="747"/>
    </row>
    <row r="35" spans="1:14" s="724" customFormat="1" ht="21" customHeight="1">
      <c r="A35" s="741" t="s">
        <v>88</v>
      </c>
      <c r="B35" s="1033">
        <v>147</v>
      </c>
      <c r="C35" s="1035">
        <v>1635</v>
      </c>
      <c r="D35" s="1035" t="s">
        <v>105</v>
      </c>
      <c r="E35" s="1035" t="s">
        <v>105</v>
      </c>
      <c r="F35" s="1043" t="s">
        <v>105</v>
      </c>
      <c r="G35" s="1043" t="s">
        <v>105</v>
      </c>
      <c r="H35" s="527" t="s">
        <v>105</v>
      </c>
      <c r="I35" s="527" t="s">
        <v>105</v>
      </c>
      <c r="J35" s="527" t="s">
        <v>105</v>
      </c>
      <c r="K35" s="527" t="s">
        <v>105</v>
      </c>
      <c r="L35" s="729" t="s">
        <v>105</v>
      </c>
      <c r="M35" s="743">
        <f t="shared" si="3"/>
        <v>1782</v>
      </c>
      <c r="N35" s="747"/>
    </row>
    <row r="36" spans="1:14" s="724" customFormat="1" ht="21" customHeight="1">
      <c r="A36" s="741" t="s">
        <v>138</v>
      </c>
      <c r="B36" s="1035" t="s">
        <v>105</v>
      </c>
      <c r="C36" s="1035" t="s">
        <v>105</v>
      </c>
      <c r="D36" s="1035" t="s">
        <v>105</v>
      </c>
      <c r="E36" s="1035" t="s">
        <v>105</v>
      </c>
      <c r="F36" s="1044">
        <v>8</v>
      </c>
      <c r="G36" s="1043" t="s">
        <v>105</v>
      </c>
      <c r="H36" s="527" t="s">
        <v>105</v>
      </c>
      <c r="I36" s="527" t="s">
        <v>105</v>
      </c>
      <c r="J36" s="527" t="s">
        <v>105</v>
      </c>
      <c r="K36" s="527" t="s">
        <v>105</v>
      </c>
      <c r="L36" s="729" t="s">
        <v>105</v>
      </c>
      <c r="M36" s="743">
        <f t="shared" si="3"/>
        <v>8</v>
      </c>
      <c r="N36" s="747"/>
    </row>
    <row r="37" spans="1:14" s="724" customFormat="1" ht="21" customHeight="1" thickBot="1">
      <c r="A37" s="750" t="s">
        <v>304</v>
      </c>
      <c r="B37" s="1033">
        <v>1825</v>
      </c>
      <c r="C37" s="1037">
        <v>2545</v>
      </c>
      <c r="D37" s="1038">
        <v>10</v>
      </c>
      <c r="E37" s="1035" t="s">
        <v>105</v>
      </c>
      <c r="F37" s="1044">
        <v>173</v>
      </c>
      <c r="G37" s="1043">
        <v>12</v>
      </c>
      <c r="H37" s="527">
        <v>137</v>
      </c>
      <c r="I37" s="527">
        <v>91</v>
      </c>
      <c r="J37" s="752">
        <v>2365</v>
      </c>
      <c r="K37" s="527" t="s">
        <v>105</v>
      </c>
      <c r="L37" s="753">
        <v>102</v>
      </c>
      <c r="M37" s="743">
        <f t="shared" si="3"/>
        <v>7260</v>
      </c>
      <c r="N37" s="747"/>
    </row>
    <row r="38" spans="1:14" s="724" customFormat="1" ht="26.25" customHeight="1" thickBot="1" thickTop="1">
      <c r="A38" s="754" t="s">
        <v>195</v>
      </c>
      <c r="B38" s="1039">
        <f aca="true" t="shared" si="4" ref="B38:M38">SUM(B8:B37)</f>
        <v>39857</v>
      </c>
      <c r="C38" s="1040">
        <f t="shared" si="4"/>
        <v>53909</v>
      </c>
      <c r="D38" s="1040">
        <f t="shared" si="4"/>
        <v>9619</v>
      </c>
      <c r="E38" s="1040">
        <f t="shared" si="4"/>
        <v>5292</v>
      </c>
      <c r="F38" s="1046">
        <f t="shared" si="4"/>
        <v>3534</v>
      </c>
      <c r="G38" s="1046">
        <f t="shared" si="4"/>
        <v>152</v>
      </c>
      <c r="H38" s="730">
        <f t="shared" si="4"/>
        <v>3037</v>
      </c>
      <c r="I38" s="730">
        <f t="shared" si="4"/>
        <v>1992</v>
      </c>
      <c r="J38" s="730">
        <f t="shared" si="4"/>
        <v>30571</v>
      </c>
      <c r="K38" s="730">
        <f t="shared" si="4"/>
        <v>4045</v>
      </c>
      <c r="L38" s="731">
        <f t="shared" si="4"/>
        <v>6289</v>
      </c>
      <c r="M38" s="755">
        <f t="shared" si="4"/>
        <v>158297</v>
      </c>
      <c r="N38" s="747"/>
    </row>
    <row r="39" ht="15.75" thickTop="1">
      <c r="B39" s="756"/>
    </row>
    <row r="60" ht="15">
      <c r="E60" s="885"/>
    </row>
  </sheetData>
  <sheetProtection/>
  <mergeCells count="5">
    <mergeCell ref="A1:M1"/>
    <mergeCell ref="A5:M5"/>
    <mergeCell ref="L6:M6"/>
    <mergeCell ref="A2:C2"/>
    <mergeCell ref="A4:M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37"/>
  <sheetViews>
    <sheetView zoomScalePageLayoutView="0" workbookViewId="0" topLeftCell="A1">
      <selection activeCell="A1" sqref="A1"/>
      <selection activeCell="A1" sqref="A1:V1"/>
    </sheetView>
  </sheetViews>
  <sheetFormatPr defaultColWidth="9.140625" defaultRowHeight="12.75"/>
  <sheetData>
    <row r="1" spans="1:22" ht="18">
      <c r="A1" s="1262">
        <v>72</v>
      </c>
      <c r="B1" s="1262"/>
      <c r="C1" s="1262"/>
      <c r="D1" s="1262"/>
      <c r="E1" s="1262"/>
      <c r="F1" s="1262"/>
      <c r="G1" s="1262"/>
      <c r="H1" s="1262"/>
      <c r="I1" s="1262"/>
      <c r="J1" s="1262"/>
      <c r="K1" s="1262"/>
      <c r="L1" s="1262"/>
      <c r="M1" s="1262"/>
      <c r="N1" s="1262"/>
      <c r="O1" s="1262"/>
      <c r="P1" s="1262"/>
      <c r="Q1" s="1262"/>
      <c r="R1" s="1262"/>
      <c r="S1" s="1262"/>
      <c r="T1" s="1262"/>
      <c r="U1" s="1262"/>
      <c r="V1" s="1262"/>
    </row>
    <row r="2" spans="1:22" ht="15">
      <c r="A2" s="1047" t="s">
        <v>408</v>
      </c>
      <c r="B2" s="1047"/>
      <c r="C2" s="1047"/>
      <c r="D2" s="1047"/>
      <c r="E2" s="1048"/>
      <c r="F2" s="1048"/>
      <c r="G2" s="1048"/>
      <c r="H2" s="1048"/>
      <c r="I2" s="1048"/>
      <c r="J2" s="1048"/>
      <c r="K2" s="1048"/>
      <c r="L2" s="1263"/>
      <c r="M2" s="1263"/>
      <c r="N2" s="1121"/>
      <c r="O2" s="1048"/>
      <c r="P2" s="1048"/>
      <c r="Q2" s="1048"/>
      <c r="R2" s="1048"/>
      <c r="S2" s="1048"/>
      <c r="T2" s="1048"/>
      <c r="U2" s="1048"/>
      <c r="V2" s="1048"/>
    </row>
    <row r="3" spans="1:22" ht="14.25">
      <c r="A3" s="1049"/>
      <c r="B3" s="1048"/>
      <c r="C3" s="1048"/>
      <c r="D3" s="1048"/>
      <c r="E3" s="1048"/>
      <c r="F3" s="1048"/>
      <c r="G3" s="1048"/>
      <c r="H3" s="1048"/>
      <c r="I3" s="1048"/>
      <c r="J3" s="1048"/>
      <c r="K3" s="1048"/>
      <c r="L3" s="1048"/>
      <c r="M3" s="1048"/>
      <c r="N3" s="1048"/>
      <c r="O3" s="1048"/>
      <c r="P3" s="1048"/>
      <c r="Q3" s="1048"/>
      <c r="R3" s="1048"/>
      <c r="S3" s="1048"/>
      <c r="T3" s="1048"/>
      <c r="U3" s="1048"/>
      <c r="V3" s="1048"/>
    </row>
    <row r="4" spans="1:22" ht="27">
      <c r="A4" s="1264" t="s">
        <v>409</v>
      </c>
      <c r="B4" s="1264"/>
      <c r="C4" s="1264"/>
      <c r="D4" s="1264"/>
      <c r="E4" s="1264"/>
      <c r="F4" s="1264"/>
      <c r="G4" s="1264"/>
      <c r="H4" s="1264"/>
      <c r="I4" s="1264"/>
      <c r="J4" s="1264"/>
      <c r="K4" s="1264"/>
      <c r="L4" s="1264"/>
      <c r="M4" s="1264"/>
      <c r="N4" s="1264"/>
      <c r="O4" s="1264"/>
      <c r="P4" s="1264"/>
      <c r="Q4" s="1264"/>
      <c r="R4" s="1264"/>
      <c r="S4" s="1264"/>
      <c r="T4" s="1264"/>
      <c r="U4" s="1264"/>
      <c r="V4" s="1264"/>
    </row>
    <row r="5" spans="1:22" ht="20.25">
      <c r="A5" s="1265" t="s">
        <v>206</v>
      </c>
      <c r="B5" s="1265"/>
      <c r="C5" s="1265"/>
      <c r="D5" s="1265"/>
      <c r="E5" s="1265"/>
      <c r="F5" s="1265"/>
      <c r="G5" s="1265"/>
      <c r="H5" s="1265"/>
      <c r="I5" s="1265"/>
      <c r="J5" s="1265"/>
      <c r="K5" s="1265"/>
      <c r="L5" s="1265"/>
      <c r="M5" s="1265"/>
      <c r="N5" s="1265"/>
      <c r="O5" s="1265"/>
      <c r="P5" s="1265"/>
      <c r="Q5" s="1265"/>
      <c r="R5" s="1265"/>
      <c r="S5" s="1265"/>
      <c r="T5" s="1265"/>
      <c r="U5" s="1265"/>
      <c r="V5" s="1265"/>
    </row>
    <row r="6" spans="1:22" ht="15" thickBot="1">
      <c r="A6" s="1049"/>
      <c r="B6" s="1049"/>
      <c r="C6" s="1049"/>
      <c r="D6" s="1049"/>
      <c r="E6" s="1049"/>
      <c r="F6" s="1049"/>
      <c r="G6" s="1049"/>
      <c r="H6" s="1049"/>
      <c r="I6" s="1049"/>
      <c r="J6" s="1049"/>
      <c r="K6" s="1049"/>
      <c r="L6" s="1049"/>
      <c r="M6" s="1049"/>
      <c r="N6" s="1049"/>
      <c r="O6" s="1049"/>
      <c r="P6" s="1049"/>
      <c r="Q6" s="1049"/>
      <c r="R6" s="1049"/>
      <c r="S6" s="1049"/>
      <c r="T6" s="1266" t="s">
        <v>240</v>
      </c>
      <c r="U6" s="1266"/>
      <c r="V6" s="1266"/>
    </row>
    <row r="7" spans="1:22" ht="27" thickBot="1" thickTop="1">
      <c r="A7" s="1267" t="s">
        <v>207</v>
      </c>
      <c r="B7" s="1269" t="s">
        <v>368</v>
      </c>
      <c r="C7" s="1257"/>
      <c r="D7" s="1270"/>
      <c r="E7" s="1050" t="s">
        <v>369</v>
      </c>
      <c r="F7" s="1269" t="s">
        <v>371</v>
      </c>
      <c r="G7" s="1256"/>
      <c r="H7" s="1256"/>
      <c r="I7" s="1256"/>
      <c r="J7" s="1271" t="s">
        <v>370</v>
      </c>
      <c r="K7" s="1272"/>
      <c r="L7" s="1273" t="s">
        <v>410</v>
      </c>
      <c r="M7" s="1274"/>
      <c r="N7" s="1274"/>
      <c r="O7" s="1274"/>
      <c r="P7" s="1274"/>
      <c r="Q7" s="1274"/>
      <c r="R7" s="1275"/>
      <c r="S7" s="1256" t="s">
        <v>411</v>
      </c>
      <c r="T7" s="1257"/>
      <c r="U7" s="1258"/>
      <c r="V7" s="1259" t="s">
        <v>195</v>
      </c>
    </row>
    <row r="8" spans="1:22" ht="66.75" thickBot="1" thickTop="1">
      <c r="A8" s="1268"/>
      <c r="B8" s="1051" t="s">
        <v>259</v>
      </c>
      <c r="C8" s="1052" t="s">
        <v>412</v>
      </c>
      <c r="D8" s="1053" t="s">
        <v>413</v>
      </c>
      <c r="E8" s="1054" t="s">
        <v>273</v>
      </c>
      <c r="F8" s="1051" t="s">
        <v>414</v>
      </c>
      <c r="G8" s="1107" t="s">
        <v>428</v>
      </c>
      <c r="H8" s="1052" t="s">
        <v>415</v>
      </c>
      <c r="I8" s="1053" t="s">
        <v>416</v>
      </c>
      <c r="J8" s="1051" t="s">
        <v>419</v>
      </c>
      <c r="K8" s="1056" t="s">
        <v>420</v>
      </c>
      <c r="L8" s="1051" t="s">
        <v>283</v>
      </c>
      <c r="M8" s="1052" t="s">
        <v>284</v>
      </c>
      <c r="N8" s="1052" t="s">
        <v>421</v>
      </c>
      <c r="O8" s="1052" t="s">
        <v>285</v>
      </c>
      <c r="P8" s="1052" t="s">
        <v>422</v>
      </c>
      <c r="Q8" s="1053" t="s">
        <v>423</v>
      </c>
      <c r="R8" s="1055" t="s">
        <v>289</v>
      </c>
      <c r="S8" s="1057" t="s">
        <v>424</v>
      </c>
      <c r="T8" s="1052" t="s">
        <v>277</v>
      </c>
      <c r="U8" s="1053" t="s">
        <v>275</v>
      </c>
      <c r="V8" s="1260"/>
    </row>
    <row r="9" spans="1:22" ht="15.75" thickTop="1">
      <c r="A9" s="1058" t="s">
        <v>87</v>
      </c>
      <c r="B9" s="1059" t="s">
        <v>105</v>
      </c>
      <c r="C9" s="1060" t="s">
        <v>105</v>
      </c>
      <c r="D9" s="1061">
        <v>124</v>
      </c>
      <c r="E9" s="1062" t="s">
        <v>105</v>
      </c>
      <c r="F9" s="1059">
        <v>159</v>
      </c>
      <c r="G9" s="1108">
        <f aca="true" t="shared" si="0" ref="G9:G20">+I25+J25</f>
        <v>244</v>
      </c>
      <c r="H9" s="1060">
        <v>243</v>
      </c>
      <c r="I9" s="1063" t="s">
        <v>105</v>
      </c>
      <c r="J9" s="1059" t="s">
        <v>105</v>
      </c>
      <c r="K9" s="1064">
        <v>61</v>
      </c>
      <c r="L9" s="1059" t="s">
        <v>105</v>
      </c>
      <c r="M9" s="1060" t="s">
        <v>105</v>
      </c>
      <c r="N9" s="1066">
        <v>316</v>
      </c>
      <c r="O9" s="1065" t="s">
        <v>105</v>
      </c>
      <c r="P9" s="1060">
        <v>598</v>
      </c>
      <c r="Q9" s="1063" t="s">
        <v>105</v>
      </c>
      <c r="R9" s="1067" t="s">
        <v>105</v>
      </c>
      <c r="S9" s="1068" t="s">
        <v>105</v>
      </c>
      <c r="T9" s="1068" t="s">
        <v>105</v>
      </c>
      <c r="U9" s="1068" t="s">
        <v>105</v>
      </c>
      <c r="V9" s="1062">
        <f aca="true" t="shared" si="1" ref="V9:V20">SUM(B9:U9)</f>
        <v>1745</v>
      </c>
    </row>
    <row r="10" spans="1:22" ht="15">
      <c r="A10" s="1069" t="s">
        <v>89</v>
      </c>
      <c r="B10" s="1070">
        <v>589</v>
      </c>
      <c r="C10" s="1071">
        <v>1299</v>
      </c>
      <c r="D10" s="1072">
        <v>2071</v>
      </c>
      <c r="E10" s="1073">
        <v>297</v>
      </c>
      <c r="F10" s="1074">
        <v>1416</v>
      </c>
      <c r="G10" s="1109">
        <f t="shared" si="0"/>
        <v>2336</v>
      </c>
      <c r="H10" s="1075">
        <v>1851</v>
      </c>
      <c r="I10" s="1072">
        <v>5505</v>
      </c>
      <c r="J10" s="1070">
        <v>235</v>
      </c>
      <c r="K10" s="1076">
        <v>652</v>
      </c>
      <c r="L10" s="1074">
        <v>2122</v>
      </c>
      <c r="M10" s="1075">
        <v>3918</v>
      </c>
      <c r="N10" s="1071">
        <v>831</v>
      </c>
      <c r="O10" s="1077">
        <v>923</v>
      </c>
      <c r="P10" s="1075">
        <v>2073</v>
      </c>
      <c r="Q10" s="1072">
        <v>422</v>
      </c>
      <c r="R10" s="1067">
        <v>30</v>
      </c>
      <c r="S10" s="1078">
        <v>322</v>
      </c>
      <c r="T10" s="1071">
        <v>653</v>
      </c>
      <c r="U10" s="1067">
        <v>329</v>
      </c>
      <c r="V10" s="1079">
        <f t="shared" si="1"/>
        <v>27874</v>
      </c>
    </row>
    <row r="11" spans="1:22" ht="15">
      <c r="A11" s="1058" t="s">
        <v>94</v>
      </c>
      <c r="B11" s="1074" t="s">
        <v>105</v>
      </c>
      <c r="C11" s="1071">
        <v>254</v>
      </c>
      <c r="D11" s="1080">
        <v>382</v>
      </c>
      <c r="E11" s="1079" t="s">
        <v>105</v>
      </c>
      <c r="F11" s="1074" t="s">
        <v>105</v>
      </c>
      <c r="G11" s="1109">
        <f t="shared" si="0"/>
        <v>0</v>
      </c>
      <c r="H11" s="1071" t="s">
        <v>105</v>
      </c>
      <c r="I11" s="1080" t="s">
        <v>105</v>
      </c>
      <c r="J11" s="1074" t="s">
        <v>105</v>
      </c>
      <c r="K11" s="1067" t="s">
        <v>105</v>
      </c>
      <c r="L11" s="1070" t="s">
        <v>105</v>
      </c>
      <c r="M11" s="1071" t="s">
        <v>105</v>
      </c>
      <c r="N11" s="1071" t="s">
        <v>105</v>
      </c>
      <c r="O11" s="1081" t="s">
        <v>105</v>
      </c>
      <c r="P11" s="1071" t="s">
        <v>105</v>
      </c>
      <c r="Q11" s="1072" t="s">
        <v>105</v>
      </c>
      <c r="R11" s="1067" t="s">
        <v>105</v>
      </c>
      <c r="S11" s="1078" t="s">
        <v>105</v>
      </c>
      <c r="T11" s="1071" t="s">
        <v>105</v>
      </c>
      <c r="U11" s="1067" t="s">
        <v>105</v>
      </c>
      <c r="V11" s="1079">
        <f t="shared" si="1"/>
        <v>636</v>
      </c>
    </row>
    <row r="12" spans="1:22" ht="15">
      <c r="A12" s="1058" t="s">
        <v>149</v>
      </c>
      <c r="B12" s="1074" t="s">
        <v>105</v>
      </c>
      <c r="C12" s="1071">
        <v>492</v>
      </c>
      <c r="D12" s="1072">
        <v>502</v>
      </c>
      <c r="E12" s="1079" t="s">
        <v>105</v>
      </c>
      <c r="F12" s="1074">
        <v>629</v>
      </c>
      <c r="G12" s="1109">
        <f t="shared" si="0"/>
        <v>399</v>
      </c>
      <c r="H12" s="1075">
        <v>623</v>
      </c>
      <c r="I12" s="1072">
        <v>2008</v>
      </c>
      <c r="J12" s="1074" t="s">
        <v>105</v>
      </c>
      <c r="K12" s="1076">
        <v>146</v>
      </c>
      <c r="L12" s="1074">
        <v>373</v>
      </c>
      <c r="M12" s="1075">
        <v>683</v>
      </c>
      <c r="N12" s="1071">
        <v>617</v>
      </c>
      <c r="O12" s="1081">
        <v>407</v>
      </c>
      <c r="P12" s="1075">
        <v>358</v>
      </c>
      <c r="Q12" s="1072">
        <v>358</v>
      </c>
      <c r="R12" s="1067" t="s">
        <v>105</v>
      </c>
      <c r="S12" s="1078">
        <v>170</v>
      </c>
      <c r="T12" s="1071">
        <v>47</v>
      </c>
      <c r="U12" s="1067">
        <v>88</v>
      </c>
      <c r="V12" s="1079">
        <f t="shared" si="1"/>
        <v>7900</v>
      </c>
    </row>
    <row r="13" spans="1:22" ht="15">
      <c r="A13" s="1058" t="s">
        <v>425</v>
      </c>
      <c r="B13" s="1074" t="s">
        <v>105</v>
      </c>
      <c r="C13" s="1075" t="s">
        <v>105</v>
      </c>
      <c r="D13" s="1080" t="s">
        <v>105</v>
      </c>
      <c r="E13" s="1079" t="s">
        <v>105</v>
      </c>
      <c r="F13" s="1078" t="s">
        <v>105</v>
      </c>
      <c r="G13" s="1109">
        <f t="shared" si="0"/>
        <v>47</v>
      </c>
      <c r="H13" s="1075">
        <v>108</v>
      </c>
      <c r="I13" s="1080" t="s">
        <v>105</v>
      </c>
      <c r="J13" s="1074" t="s">
        <v>105</v>
      </c>
      <c r="K13" s="1076">
        <v>32</v>
      </c>
      <c r="L13" s="1078" t="s">
        <v>105</v>
      </c>
      <c r="M13" s="1075" t="s">
        <v>105</v>
      </c>
      <c r="N13" s="1071">
        <v>44</v>
      </c>
      <c r="O13" s="1075" t="s">
        <v>105</v>
      </c>
      <c r="P13" s="1075" t="s">
        <v>105</v>
      </c>
      <c r="Q13" s="1080">
        <v>119</v>
      </c>
      <c r="R13" s="1067" t="s">
        <v>105</v>
      </c>
      <c r="S13" s="1082" t="s">
        <v>105</v>
      </c>
      <c r="T13" s="1082" t="s">
        <v>105</v>
      </c>
      <c r="U13" s="1082" t="s">
        <v>105</v>
      </c>
      <c r="V13" s="1079">
        <f t="shared" si="1"/>
        <v>350</v>
      </c>
    </row>
    <row r="14" spans="1:22" ht="15">
      <c r="A14" s="1058" t="s">
        <v>426</v>
      </c>
      <c r="B14" s="1074" t="s">
        <v>105</v>
      </c>
      <c r="C14" s="1071" t="s">
        <v>105</v>
      </c>
      <c r="D14" s="1080" t="s">
        <v>105</v>
      </c>
      <c r="E14" s="1079" t="s">
        <v>105</v>
      </c>
      <c r="F14" s="1078" t="s">
        <v>105</v>
      </c>
      <c r="G14" s="1109">
        <f t="shared" si="0"/>
        <v>0</v>
      </c>
      <c r="H14" s="1075" t="s">
        <v>105</v>
      </c>
      <c r="I14" s="1072">
        <v>278</v>
      </c>
      <c r="J14" s="1074" t="s">
        <v>105</v>
      </c>
      <c r="K14" s="1076">
        <v>78</v>
      </c>
      <c r="L14" s="1074">
        <v>98</v>
      </c>
      <c r="M14" s="1075">
        <v>187</v>
      </c>
      <c r="N14" s="1071">
        <v>401</v>
      </c>
      <c r="O14" s="1075" t="s">
        <v>105</v>
      </c>
      <c r="P14" s="1075">
        <v>252</v>
      </c>
      <c r="Q14" s="1072">
        <v>160</v>
      </c>
      <c r="R14" s="1067" t="s">
        <v>105</v>
      </c>
      <c r="S14" s="1082" t="s">
        <v>105</v>
      </c>
      <c r="T14" s="1082" t="s">
        <v>105</v>
      </c>
      <c r="U14" s="1082" t="s">
        <v>105</v>
      </c>
      <c r="V14" s="1079">
        <f t="shared" si="1"/>
        <v>1454</v>
      </c>
    </row>
    <row r="15" spans="1:22" ht="15">
      <c r="A15" s="1058" t="s">
        <v>139</v>
      </c>
      <c r="B15" s="1074" t="s">
        <v>105</v>
      </c>
      <c r="C15" s="1075" t="s">
        <v>105</v>
      </c>
      <c r="D15" s="1072" t="s">
        <v>105</v>
      </c>
      <c r="E15" s="1073">
        <v>127</v>
      </c>
      <c r="F15" s="1074" t="s">
        <v>105</v>
      </c>
      <c r="G15" s="1109">
        <f t="shared" si="0"/>
        <v>0</v>
      </c>
      <c r="H15" s="1075" t="s">
        <v>105</v>
      </c>
      <c r="I15" s="1080" t="s">
        <v>105</v>
      </c>
      <c r="J15" s="1074" t="s">
        <v>105</v>
      </c>
      <c r="K15" s="1067" t="s">
        <v>105</v>
      </c>
      <c r="L15" s="1070" t="s">
        <v>105</v>
      </c>
      <c r="M15" s="1075" t="s">
        <v>105</v>
      </c>
      <c r="N15" s="1071" t="s">
        <v>105</v>
      </c>
      <c r="O15" s="1075" t="s">
        <v>105</v>
      </c>
      <c r="P15" s="1071" t="s">
        <v>105</v>
      </c>
      <c r="Q15" s="1072" t="s">
        <v>105</v>
      </c>
      <c r="R15" s="1067" t="s">
        <v>105</v>
      </c>
      <c r="S15" s="1082" t="s">
        <v>105</v>
      </c>
      <c r="T15" s="1082" t="s">
        <v>105</v>
      </c>
      <c r="U15" s="1082" t="s">
        <v>105</v>
      </c>
      <c r="V15" s="1079">
        <f t="shared" si="1"/>
        <v>127</v>
      </c>
    </row>
    <row r="16" spans="1:22" ht="15">
      <c r="A16" s="1058" t="s">
        <v>148</v>
      </c>
      <c r="B16" s="1070">
        <v>156</v>
      </c>
      <c r="C16" s="1071">
        <v>546</v>
      </c>
      <c r="D16" s="1072">
        <v>745</v>
      </c>
      <c r="E16" s="1073">
        <v>34</v>
      </c>
      <c r="F16" s="1074">
        <v>1203</v>
      </c>
      <c r="G16" s="1109">
        <f t="shared" si="0"/>
        <v>1133</v>
      </c>
      <c r="H16" s="1075">
        <v>972</v>
      </c>
      <c r="I16" s="1072">
        <v>3477</v>
      </c>
      <c r="J16" s="1070">
        <v>49</v>
      </c>
      <c r="K16" s="1076">
        <v>100</v>
      </c>
      <c r="L16" s="1074">
        <v>946</v>
      </c>
      <c r="M16" s="1075">
        <v>1737</v>
      </c>
      <c r="N16" s="1071">
        <v>701</v>
      </c>
      <c r="O16" s="1081">
        <v>738</v>
      </c>
      <c r="P16" s="1075">
        <v>578</v>
      </c>
      <c r="Q16" s="1080">
        <v>219</v>
      </c>
      <c r="R16" s="1067" t="s">
        <v>105</v>
      </c>
      <c r="S16" s="1082" t="s">
        <v>105</v>
      </c>
      <c r="T16" s="1071">
        <v>88</v>
      </c>
      <c r="U16" s="1076" t="s">
        <v>105</v>
      </c>
      <c r="V16" s="1079">
        <f t="shared" si="1"/>
        <v>13422</v>
      </c>
    </row>
    <row r="17" spans="1:22" ht="15">
      <c r="A17" s="1058" t="s">
        <v>80</v>
      </c>
      <c r="B17" s="1070">
        <v>218</v>
      </c>
      <c r="C17" s="1071">
        <v>310</v>
      </c>
      <c r="D17" s="1072">
        <v>549</v>
      </c>
      <c r="E17" s="1079" t="s">
        <v>105</v>
      </c>
      <c r="F17" s="1082" t="s">
        <v>105</v>
      </c>
      <c r="G17" s="1109">
        <f t="shared" si="0"/>
        <v>58</v>
      </c>
      <c r="H17" s="1075" t="s">
        <v>105</v>
      </c>
      <c r="I17" s="1080" t="s">
        <v>105</v>
      </c>
      <c r="J17" s="1070">
        <v>13</v>
      </c>
      <c r="K17" s="1076">
        <v>110</v>
      </c>
      <c r="L17" s="1074" t="s">
        <v>105</v>
      </c>
      <c r="M17" s="1071" t="s">
        <v>105</v>
      </c>
      <c r="N17" s="1071">
        <v>485</v>
      </c>
      <c r="O17" s="1081">
        <v>152</v>
      </c>
      <c r="P17" s="1075">
        <v>269</v>
      </c>
      <c r="Q17" s="1072">
        <v>225</v>
      </c>
      <c r="R17" s="1067" t="s">
        <v>105</v>
      </c>
      <c r="S17" s="1078">
        <v>294</v>
      </c>
      <c r="T17" s="1071">
        <v>136</v>
      </c>
      <c r="U17" s="1067">
        <v>98</v>
      </c>
      <c r="V17" s="1079">
        <f t="shared" si="1"/>
        <v>2917</v>
      </c>
    </row>
    <row r="18" spans="1:22" ht="15">
      <c r="A18" s="1058" t="s">
        <v>68</v>
      </c>
      <c r="B18" s="1082" t="s">
        <v>105</v>
      </c>
      <c r="C18" s="1071">
        <v>369</v>
      </c>
      <c r="D18" s="1072">
        <v>386</v>
      </c>
      <c r="E18" s="1079" t="s">
        <v>105</v>
      </c>
      <c r="F18" s="1074" t="s">
        <v>105</v>
      </c>
      <c r="G18" s="1109">
        <f t="shared" si="0"/>
        <v>49</v>
      </c>
      <c r="H18" s="1075" t="s">
        <v>105</v>
      </c>
      <c r="I18" s="1072">
        <v>181</v>
      </c>
      <c r="J18" s="1074" t="s">
        <v>105</v>
      </c>
      <c r="K18" s="1076" t="s">
        <v>105</v>
      </c>
      <c r="L18" s="1074" t="s">
        <v>105</v>
      </c>
      <c r="M18" s="1071" t="s">
        <v>105</v>
      </c>
      <c r="N18" s="1071">
        <v>55</v>
      </c>
      <c r="O18" s="1081">
        <v>245</v>
      </c>
      <c r="P18" s="1075">
        <v>610</v>
      </c>
      <c r="Q18" s="1072">
        <v>126</v>
      </c>
      <c r="R18" s="1067" t="s">
        <v>105</v>
      </c>
      <c r="S18" s="1078">
        <v>64</v>
      </c>
      <c r="T18" s="1071">
        <v>26</v>
      </c>
      <c r="U18" s="1076" t="s">
        <v>105</v>
      </c>
      <c r="V18" s="1079">
        <f t="shared" si="1"/>
        <v>2111</v>
      </c>
    </row>
    <row r="19" spans="1:22" ht="15">
      <c r="A19" s="1083" t="s">
        <v>150</v>
      </c>
      <c r="B19" s="1070">
        <v>429</v>
      </c>
      <c r="C19" s="1071">
        <v>1412</v>
      </c>
      <c r="D19" s="1072">
        <v>2579</v>
      </c>
      <c r="E19" s="1073">
        <v>1647</v>
      </c>
      <c r="F19" s="1074">
        <v>599</v>
      </c>
      <c r="G19" s="1109">
        <f t="shared" si="0"/>
        <v>1410</v>
      </c>
      <c r="H19" s="1075">
        <v>565</v>
      </c>
      <c r="I19" s="1072">
        <v>3929</v>
      </c>
      <c r="J19" s="1070">
        <v>471</v>
      </c>
      <c r="K19" s="1076">
        <v>1725</v>
      </c>
      <c r="L19" s="1074">
        <v>254</v>
      </c>
      <c r="M19" s="1075">
        <v>282</v>
      </c>
      <c r="N19" s="1071">
        <v>765</v>
      </c>
      <c r="O19" s="1081">
        <v>927</v>
      </c>
      <c r="P19" s="1075">
        <v>800</v>
      </c>
      <c r="Q19" s="1072">
        <v>1035</v>
      </c>
      <c r="R19" s="1067">
        <v>235</v>
      </c>
      <c r="S19" s="1078">
        <v>1553</v>
      </c>
      <c r="T19" s="1071">
        <v>1700</v>
      </c>
      <c r="U19" s="1076" t="s">
        <v>105</v>
      </c>
      <c r="V19" s="1079">
        <f t="shared" si="1"/>
        <v>22317</v>
      </c>
    </row>
    <row r="20" spans="1:22" ht="15.75" thickBot="1">
      <c r="A20" s="1058" t="s">
        <v>194</v>
      </c>
      <c r="B20" s="1084">
        <v>94</v>
      </c>
      <c r="C20" s="1085">
        <v>198</v>
      </c>
      <c r="D20" s="1086">
        <v>242</v>
      </c>
      <c r="E20" s="1087" t="s">
        <v>105</v>
      </c>
      <c r="F20" s="1088">
        <v>363</v>
      </c>
      <c r="G20" s="1110">
        <f t="shared" si="0"/>
        <v>536</v>
      </c>
      <c r="H20" s="1089">
        <v>346</v>
      </c>
      <c r="I20" s="1090" t="s">
        <v>105</v>
      </c>
      <c r="J20" s="1084">
        <v>32</v>
      </c>
      <c r="K20" s="1091">
        <v>79</v>
      </c>
      <c r="L20" s="1088">
        <v>65</v>
      </c>
      <c r="M20" s="1089">
        <v>116</v>
      </c>
      <c r="N20" s="1085">
        <v>204</v>
      </c>
      <c r="O20" s="1092" t="s">
        <v>105</v>
      </c>
      <c r="P20" s="1089">
        <v>280</v>
      </c>
      <c r="Q20" s="1086">
        <v>170</v>
      </c>
      <c r="R20" s="1067" t="s">
        <v>105</v>
      </c>
      <c r="S20" s="1093">
        <v>105</v>
      </c>
      <c r="T20" s="1085">
        <v>79</v>
      </c>
      <c r="U20" s="1091">
        <v>41</v>
      </c>
      <c r="V20" s="1087">
        <f t="shared" si="1"/>
        <v>2950</v>
      </c>
    </row>
    <row r="21" spans="1:22" ht="16.5" thickBot="1" thickTop="1">
      <c r="A21" s="1094" t="s">
        <v>195</v>
      </c>
      <c r="B21" s="1095">
        <f>SUM(B9:B20)</f>
        <v>1486</v>
      </c>
      <c r="C21" s="1096">
        <f>SUM(C10:C20)</f>
        <v>4880</v>
      </c>
      <c r="D21" s="1097">
        <f aca="true" t="shared" si="2" ref="D21:V21">SUM(D9:D20)</f>
        <v>7580</v>
      </c>
      <c r="E21" s="1098">
        <f t="shared" si="2"/>
        <v>2105</v>
      </c>
      <c r="F21" s="1095">
        <f t="shared" si="2"/>
        <v>4369</v>
      </c>
      <c r="G21" s="1111">
        <f>SUM(G9:G20)</f>
        <v>6212</v>
      </c>
      <c r="H21" s="1096">
        <f t="shared" si="2"/>
        <v>4708</v>
      </c>
      <c r="I21" s="1097">
        <f t="shared" si="2"/>
        <v>15378</v>
      </c>
      <c r="J21" s="1100">
        <f t="shared" si="2"/>
        <v>800</v>
      </c>
      <c r="K21" s="1099">
        <f t="shared" si="2"/>
        <v>2983</v>
      </c>
      <c r="L21" s="1100">
        <f t="shared" si="2"/>
        <v>3858</v>
      </c>
      <c r="M21" s="1096">
        <f t="shared" si="2"/>
        <v>6923</v>
      </c>
      <c r="N21" s="1096">
        <f>SUM(N9:N20)</f>
        <v>4419</v>
      </c>
      <c r="O21" s="1096">
        <f t="shared" si="2"/>
        <v>3392</v>
      </c>
      <c r="P21" s="1096">
        <f t="shared" si="2"/>
        <v>5818</v>
      </c>
      <c r="Q21" s="1097">
        <f t="shared" si="2"/>
        <v>2834</v>
      </c>
      <c r="R21" s="1099">
        <f t="shared" si="2"/>
        <v>265</v>
      </c>
      <c r="S21" s="1100">
        <f t="shared" si="2"/>
        <v>2508</v>
      </c>
      <c r="T21" s="1096">
        <f t="shared" si="2"/>
        <v>2729</v>
      </c>
      <c r="U21" s="1099">
        <f t="shared" si="2"/>
        <v>556</v>
      </c>
      <c r="V21" s="1098">
        <f t="shared" si="2"/>
        <v>83803</v>
      </c>
    </row>
    <row r="22" spans="1:22" ht="15" thickTop="1">
      <c r="A22" s="1101"/>
      <c r="B22" s="1102"/>
      <c r="C22" s="1102"/>
      <c r="D22" s="1102"/>
      <c r="E22" s="1102"/>
      <c r="F22" s="1102"/>
      <c r="G22" s="1102"/>
      <c r="H22" s="1102"/>
      <c r="I22" s="1102"/>
      <c r="J22" s="1102"/>
      <c r="K22" s="1102"/>
      <c r="L22" s="1102"/>
      <c r="M22" s="1102"/>
      <c r="N22" s="1102"/>
      <c r="O22" s="1102"/>
      <c r="P22" s="1102"/>
      <c r="Q22" s="1102"/>
      <c r="R22" s="1102"/>
      <c r="S22" s="1103"/>
      <c r="T22" s="1102"/>
      <c r="U22" s="1102"/>
      <c r="V22" s="1102"/>
    </row>
    <row r="23" spans="1:22" ht="15" thickBot="1">
      <c r="A23" s="1261" t="s">
        <v>427</v>
      </c>
      <c r="B23" s="1261"/>
      <c r="C23" s="1261"/>
      <c r="D23" s="1261"/>
      <c r="E23" s="1261"/>
      <c r="F23" s="1261"/>
      <c r="G23" s="1261"/>
      <c r="H23" s="1261"/>
      <c r="I23" s="1261"/>
      <c r="J23" s="1104"/>
      <c r="K23" s="1104"/>
      <c r="L23" s="1104"/>
      <c r="M23" s="1104"/>
      <c r="N23" s="1104"/>
      <c r="O23" s="1104"/>
      <c r="P23" s="1104"/>
      <c r="Q23" s="1104"/>
      <c r="R23" s="1104"/>
      <c r="S23" s="1104"/>
      <c r="T23" s="1104"/>
      <c r="U23" s="1104"/>
      <c r="V23" s="1104"/>
    </row>
    <row r="24" spans="1:22" ht="31.5" thickBot="1" thickTop="1">
      <c r="A24" s="1105"/>
      <c r="B24" s="1106"/>
      <c r="C24" s="1106"/>
      <c r="D24" s="1106"/>
      <c r="E24" s="1106"/>
      <c r="F24" s="1106"/>
      <c r="G24" s="1106"/>
      <c r="H24" s="1106"/>
      <c r="I24" s="1112" t="s">
        <v>417</v>
      </c>
      <c r="J24" s="1113" t="s">
        <v>418</v>
      </c>
      <c r="K24" s="1106"/>
      <c r="L24" s="1106"/>
      <c r="M24" s="1106"/>
      <c r="N24" s="1106"/>
      <c r="O24" s="1106"/>
      <c r="P24" s="1106"/>
      <c r="Q24" s="1106"/>
      <c r="R24" s="1106"/>
      <c r="S24" s="1106"/>
      <c r="T24" s="1106"/>
      <c r="U24" s="1106"/>
      <c r="V24" s="1105"/>
    </row>
    <row r="25" spans="9:10" ht="15.75" thickTop="1">
      <c r="I25" s="1114">
        <v>44</v>
      </c>
      <c r="J25" s="1115">
        <v>200</v>
      </c>
    </row>
    <row r="26" spans="9:10" ht="15">
      <c r="I26" s="1116">
        <v>963</v>
      </c>
      <c r="J26" s="1117">
        <v>1373</v>
      </c>
    </row>
    <row r="27" spans="9:10" ht="15">
      <c r="I27" s="1116">
        <v>0</v>
      </c>
      <c r="J27" s="1117">
        <v>0</v>
      </c>
    </row>
    <row r="28" spans="9:10" ht="15">
      <c r="I28" s="1116">
        <v>0</v>
      </c>
      <c r="J28" s="1117">
        <v>399</v>
      </c>
    </row>
    <row r="29" spans="9:10" ht="15">
      <c r="I29" s="1116">
        <v>47</v>
      </c>
      <c r="J29" s="1117">
        <v>0</v>
      </c>
    </row>
    <row r="30" spans="9:10" ht="15">
      <c r="I30" s="1116">
        <v>0</v>
      </c>
      <c r="J30" s="1117">
        <v>0</v>
      </c>
    </row>
    <row r="31" spans="9:10" ht="15">
      <c r="I31" s="1116">
        <v>0</v>
      </c>
      <c r="J31" s="1117">
        <v>0</v>
      </c>
    </row>
    <row r="32" spans="9:10" ht="15">
      <c r="I32" s="1116">
        <v>829</v>
      </c>
      <c r="J32" s="1117">
        <v>304</v>
      </c>
    </row>
    <row r="33" spans="9:10" ht="15">
      <c r="I33" s="1116">
        <v>58</v>
      </c>
      <c r="J33" s="1117">
        <v>0</v>
      </c>
    </row>
    <row r="34" spans="9:10" ht="15">
      <c r="I34" s="1116">
        <v>49</v>
      </c>
      <c r="J34" s="1117">
        <v>0</v>
      </c>
    </row>
    <row r="35" spans="9:10" ht="15">
      <c r="I35" s="1116">
        <v>704</v>
      </c>
      <c r="J35" s="1117">
        <v>706</v>
      </c>
    </row>
    <row r="36" spans="9:10" ht="15.75" thickBot="1">
      <c r="I36" s="1118">
        <v>218</v>
      </c>
      <c r="J36" s="1119">
        <v>318</v>
      </c>
    </row>
    <row r="37" spans="9:10" ht="16.5" thickBot="1" thickTop="1">
      <c r="I37" s="1120">
        <f>SUM(I25:I36)</f>
        <v>2912</v>
      </c>
      <c r="J37" s="1111">
        <f>SUM(J25:J36)</f>
        <v>3300</v>
      </c>
    </row>
    <row r="38" ht="13.5" thickTop="1"/>
  </sheetData>
  <sheetProtection/>
  <mergeCells count="13">
    <mergeCell ref="F7:I7"/>
    <mergeCell ref="J7:K7"/>
    <mergeCell ref="L7:R7"/>
    <mergeCell ref="S7:U7"/>
    <mergeCell ref="V7:V8"/>
    <mergeCell ref="A23:I23"/>
    <mergeCell ref="A1:V1"/>
    <mergeCell ref="L2:M2"/>
    <mergeCell ref="A4:V4"/>
    <mergeCell ref="A5:V5"/>
    <mergeCell ref="T6:V6"/>
    <mergeCell ref="A7:A8"/>
    <mergeCell ref="B7:D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J60"/>
  <sheetViews>
    <sheetView zoomScale="150" zoomScaleNormal="150" zoomScalePageLayoutView="0" workbookViewId="0" topLeftCell="A1">
      <selection activeCell="A1" sqref="A1"/>
      <selection activeCell="A1" sqref="A1:G1"/>
    </sheetView>
  </sheetViews>
  <sheetFormatPr defaultColWidth="9.140625" defaultRowHeight="12.75"/>
  <cols>
    <col min="1" max="1" width="13.140625" style="757" customWidth="1"/>
    <col min="2" max="2" width="12.7109375" style="757" customWidth="1"/>
    <col min="3" max="3" width="13.421875" style="757" customWidth="1"/>
    <col min="4" max="4" width="12.7109375" style="757" customWidth="1"/>
    <col min="5" max="5" width="11.28125" style="757" customWidth="1"/>
    <col min="6" max="6" width="12.7109375" style="757" customWidth="1"/>
    <col min="7" max="7" width="15.140625" style="757" customWidth="1"/>
    <col min="8" max="8" width="18.00390625" style="757" customWidth="1"/>
    <col min="9" max="9" width="9.140625" style="757" customWidth="1"/>
    <col min="10" max="10" width="10.57421875" style="757" bestFit="1" customWidth="1"/>
    <col min="11" max="16384" width="9.140625" style="757" customWidth="1"/>
  </cols>
  <sheetData>
    <row r="1" spans="1:7" ht="18">
      <c r="A1" s="1276">
        <v>79</v>
      </c>
      <c r="B1" s="1276"/>
      <c r="C1" s="1276"/>
      <c r="D1" s="1276"/>
      <c r="E1" s="1276"/>
      <c r="F1" s="1276"/>
      <c r="G1" s="1276"/>
    </row>
    <row r="2" spans="1:2" ht="24.75" customHeight="1">
      <c r="A2" s="758" t="s">
        <v>204</v>
      </c>
      <c r="B2" s="759"/>
    </row>
    <row r="3" spans="1:2" ht="40.5" customHeight="1">
      <c r="A3" s="760"/>
      <c r="B3" s="759"/>
    </row>
    <row r="4" spans="1:7" s="761" customFormat="1" ht="24.75" customHeight="1">
      <c r="A4" s="1277" t="s">
        <v>316</v>
      </c>
      <c r="B4" s="1277"/>
      <c r="C4" s="1277"/>
      <c r="D4" s="1277"/>
      <c r="E4" s="1277"/>
      <c r="F4" s="1277"/>
      <c r="G4" s="1277"/>
    </row>
    <row r="5" spans="1:7" s="761" customFormat="1" ht="24.75" customHeight="1">
      <c r="A5" s="1278" t="s">
        <v>206</v>
      </c>
      <c r="B5" s="1278"/>
      <c r="C5" s="1278"/>
      <c r="D5" s="1278"/>
      <c r="E5" s="1278"/>
      <c r="F5" s="1278"/>
      <c r="G5" s="1278"/>
    </row>
    <row r="6" spans="1:7" s="764" customFormat="1" ht="24.75" customHeight="1" thickBot="1">
      <c r="A6" s="762"/>
      <c r="B6" s="762"/>
      <c r="C6" s="762"/>
      <c r="D6" s="762"/>
      <c r="E6" s="762"/>
      <c r="F6" s="762"/>
      <c r="G6" s="763" t="s">
        <v>240</v>
      </c>
    </row>
    <row r="7" spans="1:7" ht="24.75" customHeight="1" thickTop="1">
      <c r="A7" s="1279" t="s">
        <v>207</v>
      </c>
      <c r="B7" s="1282" t="s">
        <v>317</v>
      </c>
      <c r="C7" s="1284" t="s">
        <v>318</v>
      </c>
      <c r="D7" s="1284" t="s">
        <v>319</v>
      </c>
      <c r="E7" s="1286" t="s">
        <v>320</v>
      </c>
      <c r="F7" s="1288" t="s">
        <v>321</v>
      </c>
      <c r="G7" s="1290" t="s">
        <v>322</v>
      </c>
    </row>
    <row r="8" spans="1:7" ht="27" customHeight="1">
      <c r="A8" s="1280"/>
      <c r="B8" s="1283"/>
      <c r="C8" s="1285"/>
      <c r="D8" s="1285"/>
      <c r="E8" s="1287"/>
      <c r="F8" s="1289"/>
      <c r="G8" s="1291"/>
    </row>
    <row r="9" spans="1:7" ht="30.75" customHeight="1" thickBot="1">
      <c r="A9" s="1281"/>
      <c r="B9" s="765" t="s">
        <v>323</v>
      </c>
      <c r="C9" s="766" t="s">
        <v>323</v>
      </c>
      <c r="D9" s="766" t="s">
        <v>324</v>
      </c>
      <c r="E9" s="766" t="s">
        <v>324</v>
      </c>
      <c r="F9" s="767" t="s">
        <v>324</v>
      </c>
      <c r="G9" s="1292"/>
    </row>
    <row r="10" spans="1:10" s="774" customFormat="1" ht="26.25" customHeight="1" thickTop="1">
      <c r="A10" s="768" t="s">
        <v>325</v>
      </c>
      <c r="B10" s="769">
        <v>3975.66</v>
      </c>
      <c r="C10" s="770">
        <v>202650</v>
      </c>
      <c r="D10" s="770">
        <v>8123</v>
      </c>
      <c r="E10" s="771" t="s">
        <v>105</v>
      </c>
      <c r="F10" s="772">
        <v>2270</v>
      </c>
      <c r="G10" s="773">
        <f aca="true" t="shared" si="0" ref="G10:G19">SUM(B10:F10)</f>
        <v>217018.66</v>
      </c>
      <c r="J10" s="775"/>
    </row>
    <row r="11" spans="1:10" s="774" customFormat="1" ht="26.25" customHeight="1">
      <c r="A11" s="776" t="s">
        <v>149</v>
      </c>
      <c r="B11" s="777">
        <v>59.423</v>
      </c>
      <c r="C11" s="778">
        <v>377</v>
      </c>
      <c r="D11" s="779" t="s">
        <v>105</v>
      </c>
      <c r="E11" s="780" t="s">
        <v>105</v>
      </c>
      <c r="F11" s="781" t="s">
        <v>105</v>
      </c>
      <c r="G11" s="782">
        <f t="shared" si="0"/>
        <v>436.423</v>
      </c>
      <c r="J11" s="783"/>
    </row>
    <row r="12" spans="1:10" s="774" customFormat="1" ht="26.25" customHeight="1">
      <c r="A12" s="776" t="s">
        <v>86</v>
      </c>
      <c r="B12" s="784" t="s">
        <v>105</v>
      </c>
      <c r="C12" s="778">
        <v>3298</v>
      </c>
      <c r="D12" s="779" t="s">
        <v>105</v>
      </c>
      <c r="E12" s="780" t="s">
        <v>105</v>
      </c>
      <c r="F12" s="781" t="s">
        <v>105</v>
      </c>
      <c r="G12" s="785">
        <f t="shared" si="0"/>
        <v>3298</v>
      </c>
      <c r="J12" s="783"/>
    </row>
    <row r="13" spans="1:10" s="774" customFormat="1" ht="26.25" customHeight="1">
      <c r="A13" s="776" t="s">
        <v>73</v>
      </c>
      <c r="B13" s="786">
        <v>0.031</v>
      </c>
      <c r="C13" s="787" t="s">
        <v>105</v>
      </c>
      <c r="D13" s="779" t="s">
        <v>105</v>
      </c>
      <c r="E13" s="780" t="s">
        <v>105</v>
      </c>
      <c r="F13" s="781" t="s">
        <v>105</v>
      </c>
      <c r="G13" s="788">
        <f t="shared" si="0"/>
        <v>0.031</v>
      </c>
      <c r="J13" s="789"/>
    </row>
    <row r="14" spans="1:10" s="774" customFormat="1" ht="26.25" customHeight="1">
      <c r="A14" s="776" t="s">
        <v>75</v>
      </c>
      <c r="B14" s="777">
        <v>71.431</v>
      </c>
      <c r="C14" s="787">
        <v>4327</v>
      </c>
      <c r="D14" s="779" t="s">
        <v>105</v>
      </c>
      <c r="E14" s="780" t="s">
        <v>105</v>
      </c>
      <c r="F14" s="781" t="s">
        <v>105</v>
      </c>
      <c r="G14" s="782">
        <f t="shared" si="0"/>
        <v>4398.431</v>
      </c>
      <c r="J14" s="790"/>
    </row>
    <row r="15" spans="1:10" s="774" customFormat="1" ht="26.25" customHeight="1">
      <c r="A15" s="776" t="s">
        <v>139</v>
      </c>
      <c r="B15" s="777">
        <f>1224.527+1.159</f>
        <v>1225.6860000000001</v>
      </c>
      <c r="C15" s="791">
        <v>155215.5</v>
      </c>
      <c r="D15" s="779" t="s">
        <v>105</v>
      </c>
      <c r="E15" s="780" t="s">
        <v>105</v>
      </c>
      <c r="F15" s="781" t="s">
        <v>105</v>
      </c>
      <c r="G15" s="782">
        <f t="shared" si="0"/>
        <v>156441.186</v>
      </c>
      <c r="J15" s="775"/>
    </row>
    <row r="16" spans="1:10" s="774" customFormat="1" ht="26.25" customHeight="1">
      <c r="A16" s="776" t="s">
        <v>74</v>
      </c>
      <c r="B16" s="792">
        <v>37</v>
      </c>
      <c r="C16" s="778">
        <v>4155</v>
      </c>
      <c r="D16" s="779" t="s">
        <v>105</v>
      </c>
      <c r="E16" s="780" t="s">
        <v>105</v>
      </c>
      <c r="F16" s="781" t="s">
        <v>105</v>
      </c>
      <c r="G16" s="793">
        <f t="shared" si="0"/>
        <v>4192</v>
      </c>
      <c r="J16" s="790"/>
    </row>
    <row r="17" spans="1:10" s="774" customFormat="1" ht="26.25" customHeight="1">
      <c r="A17" s="776" t="s">
        <v>148</v>
      </c>
      <c r="B17" s="777">
        <v>311.669</v>
      </c>
      <c r="C17" s="778">
        <v>9666</v>
      </c>
      <c r="D17" s="779" t="s">
        <v>105</v>
      </c>
      <c r="E17" s="779" t="s">
        <v>105</v>
      </c>
      <c r="F17" s="794">
        <v>202</v>
      </c>
      <c r="G17" s="782">
        <f t="shared" si="0"/>
        <v>10179.669</v>
      </c>
      <c r="J17" s="783"/>
    </row>
    <row r="18" spans="1:10" s="774" customFormat="1" ht="26.25" customHeight="1">
      <c r="A18" s="795" t="s">
        <v>326</v>
      </c>
      <c r="B18" s="777">
        <v>1906.765</v>
      </c>
      <c r="C18" s="791">
        <v>112557.5</v>
      </c>
      <c r="D18" s="796">
        <v>11715.5</v>
      </c>
      <c r="E18" s="779" t="s">
        <v>105</v>
      </c>
      <c r="F18" s="779" t="s">
        <v>105</v>
      </c>
      <c r="G18" s="782">
        <f t="shared" si="0"/>
        <v>126179.765</v>
      </c>
      <c r="J18" s="775"/>
    </row>
    <row r="19" spans="1:10" s="774" customFormat="1" ht="26.25" customHeight="1" thickBot="1">
      <c r="A19" s="797" t="s">
        <v>154</v>
      </c>
      <c r="B19" s="798" t="s">
        <v>105</v>
      </c>
      <c r="C19" s="799" t="s">
        <v>105</v>
      </c>
      <c r="D19" s="800" t="s">
        <v>105</v>
      </c>
      <c r="E19" s="801">
        <v>17602.5</v>
      </c>
      <c r="F19" s="800" t="s">
        <v>105</v>
      </c>
      <c r="G19" s="802">
        <f t="shared" si="0"/>
        <v>17602.5</v>
      </c>
      <c r="J19" s="775"/>
    </row>
    <row r="20" spans="1:8" s="774" customFormat="1" ht="32.25" customHeight="1" thickBot="1" thickTop="1">
      <c r="A20" s="803" t="s">
        <v>327</v>
      </c>
      <c r="B20" s="804">
        <f aca="true" t="shared" si="1" ref="B20:G20">SUM(B10:B19)</f>
        <v>7587.665</v>
      </c>
      <c r="C20" s="805">
        <f t="shared" si="1"/>
        <v>492246</v>
      </c>
      <c r="D20" s="806">
        <f t="shared" si="1"/>
        <v>19838.5</v>
      </c>
      <c r="E20" s="806">
        <f t="shared" si="1"/>
        <v>17602.5</v>
      </c>
      <c r="F20" s="807">
        <f t="shared" si="1"/>
        <v>2472</v>
      </c>
      <c r="G20" s="808">
        <f t="shared" si="1"/>
        <v>539746.665</v>
      </c>
      <c r="H20" s="809"/>
    </row>
    <row r="21" spans="1:8" s="774" customFormat="1" ht="24" customHeight="1" thickTop="1">
      <c r="A21" s="810" t="s">
        <v>328</v>
      </c>
      <c r="B21" s="811"/>
      <c r="C21" s="812"/>
      <c r="D21" s="812"/>
      <c r="E21" s="812"/>
      <c r="F21" s="812"/>
      <c r="G21" s="813"/>
      <c r="H21" s="814"/>
    </row>
    <row r="22" spans="2:7" ht="15" customHeight="1">
      <c r="B22" s="815"/>
      <c r="C22" s="815"/>
      <c r="D22" s="815"/>
      <c r="E22" s="815"/>
      <c r="G22" s="816"/>
    </row>
    <row r="23" spans="1:5" ht="15">
      <c r="A23" s="815"/>
      <c r="B23" s="815"/>
      <c r="C23" s="815"/>
      <c r="D23" s="815"/>
      <c r="E23" s="815"/>
    </row>
    <row r="60" ht="12.75">
      <c r="E60" s="883"/>
    </row>
  </sheetData>
  <sheetProtection/>
  <mergeCells count="10">
    <mergeCell ref="A1:G1"/>
    <mergeCell ref="A4:G4"/>
    <mergeCell ref="A5:G5"/>
    <mergeCell ref="A7:A9"/>
    <mergeCell ref="B7:B8"/>
    <mergeCell ref="C7:C8"/>
    <mergeCell ref="D7:D8"/>
    <mergeCell ref="E7:E8"/>
    <mergeCell ref="F7:F8"/>
    <mergeCell ref="G7:G9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O28"/>
  <sheetViews>
    <sheetView zoomScale="150" zoomScaleNormal="150" zoomScalePageLayoutView="0" workbookViewId="0" topLeftCell="A1">
      <selection activeCell="A1" sqref="A1"/>
      <selection activeCell="A1" sqref="A1:O1"/>
    </sheetView>
  </sheetViews>
  <sheetFormatPr defaultColWidth="9.140625" defaultRowHeight="12.75"/>
  <cols>
    <col min="1" max="1" width="16.57421875" style="0" customWidth="1"/>
  </cols>
  <sheetData>
    <row r="1" spans="1:15" ht="18">
      <c r="A1" s="1303">
        <v>93</v>
      </c>
      <c r="B1" s="1303"/>
      <c r="C1" s="1303"/>
      <c r="D1" s="1303"/>
      <c r="E1" s="1303"/>
      <c r="F1" s="1303"/>
      <c r="G1" s="1303"/>
      <c r="H1" s="1303"/>
      <c r="I1" s="1303"/>
      <c r="J1" s="1303"/>
      <c r="K1" s="1303"/>
      <c r="L1" s="1303"/>
      <c r="M1" s="1303"/>
      <c r="N1" s="1303"/>
      <c r="O1" s="1303"/>
    </row>
    <row r="2" spans="1:15" ht="15">
      <c r="A2" s="907" t="s">
        <v>204</v>
      </c>
      <c r="B2" s="90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</row>
    <row r="3" spans="1:15" ht="15">
      <c r="A3" s="907"/>
      <c r="B3" s="90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</row>
    <row r="4" spans="1:15" ht="15">
      <c r="A4" s="907"/>
      <c r="B4" s="908"/>
      <c r="C4" s="668"/>
      <c r="D4" s="668"/>
      <c r="E4" s="668"/>
      <c r="F4" s="668"/>
      <c r="G4" s="668"/>
      <c r="H4" s="668"/>
      <c r="I4" s="668"/>
      <c r="J4" s="668"/>
      <c r="K4" s="668"/>
      <c r="L4" s="668"/>
      <c r="M4" s="668"/>
      <c r="N4" s="668"/>
      <c r="O4" s="668"/>
    </row>
    <row r="5" spans="1:15" ht="23.25">
      <c r="A5" s="1304" t="s">
        <v>339</v>
      </c>
      <c r="B5" s="1304"/>
      <c r="C5" s="1304"/>
      <c r="D5" s="1304"/>
      <c r="E5" s="1304"/>
      <c r="F5" s="1304"/>
      <c r="G5" s="1304"/>
      <c r="H5" s="1304"/>
      <c r="I5" s="1304"/>
      <c r="J5" s="1304"/>
      <c r="K5" s="1304"/>
      <c r="L5" s="1304"/>
      <c r="M5" s="1304"/>
      <c r="N5" s="1304"/>
      <c r="O5" s="1304"/>
    </row>
    <row r="6" spans="1:15" ht="20.25">
      <c r="A6" s="1305" t="s">
        <v>340</v>
      </c>
      <c r="B6" s="1305"/>
      <c r="C6" s="1305"/>
      <c r="D6" s="1305"/>
      <c r="E6" s="1305"/>
      <c r="F6" s="1305"/>
      <c r="G6" s="1305"/>
      <c r="H6" s="1305"/>
      <c r="I6" s="1305"/>
      <c r="J6" s="1305"/>
      <c r="K6" s="1305"/>
      <c r="L6" s="1305"/>
      <c r="M6" s="1305"/>
      <c r="N6" s="1305"/>
      <c r="O6" s="1305"/>
    </row>
    <row r="7" spans="1:15" ht="20.25">
      <c r="A7" s="1305" t="s">
        <v>206</v>
      </c>
      <c r="B7" s="1305"/>
      <c r="C7" s="1305"/>
      <c r="D7" s="1305"/>
      <c r="E7" s="1305"/>
      <c r="F7" s="1305"/>
      <c r="G7" s="1305"/>
      <c r="H7" s="1305"/>
      <c r="I7" s="1305"/>
      <c r="J7" s="1305"/>
      <c r="K7" s="1305"/>
      <c r="L7" s="1305"/>
      <c r="M7" s="1305"/>
      <c r="N7" s="1305"/>
      <c r="O7" s="1305"/>
    </row>
    <row r="8" spans="1:15" ht="21" thickBot="1">
      <c r="A8" s="909"/>
      <c r="B8" s="909"/>
      <c r="C8" s="909"/>
      <c r="D8" s="909"/>
      <c r="E8" s="909"/>
      <c r="F8" s="909"/>
      <c r="G8" s="909"/>
      <c r="H8" s="909"/>
      <c r="I8" s="909"/>
      <c r="J8" s="909"/>
      <c r="K8" s="909"/>
      <c r="L8" s="909"/>
      <c r="M8" s="909"/>
      <c r="N8" s="909"/>
      <c r="O8" s="909"/>
    </row>
    <row r="9" spans="1:15" ht="15.75" thickBot="1" thickTop="1">
      <c r="A9" s="1306" t="s">
        <v>341</v>
      </c>
      <c r="B9" s="1309" t="s">
        <v>342</v>
      </c>
      <c r="C9" s="1310"/>
      <c r="D9" s="1310"/>
      <c r="E9" s="1310"/>
      <c r="F9" s="1310"/>
      <c r="G9" s="1310"/>
      <c r="H9" s="1310"/>
      <c r="I9" s="1311"/>
      <c r="J9" s="1309" t="s">
        <v>343</v>
      </c>
      <c r="K9" s="1310"/>
      <c r="L9" s="1310"/>
      <c r="M9" s="1310"/>
      <c r="N9" s="1311"/>
      <c r="O9" s="1306" t="s">
        <v>290</v>
      </c>
    </row>
    <row r="10" spans="1:15" ht="15" customHeight="1" thickTop="1">
      <c r="A10" s="1307"/>
      <c r="B10" s="1297" t="s">
        <v>344</v>
      </c>
      <c r="C10" s="1295" t="s">
        <v>63</v>
      </c>
      <c r="D10" s="1295" t="s">
        <v>64</v>
      </c>
      <c r="E10" s="1297" t="s">
        <v>65</v>
      </c>
      <c r="F10" s="1312" t="s">
        <v>345</v>
      </c>
      <c r="G10" s="1312" t="s">
        <v>346</v>
      </c>
      <c r="H10" s="1299" t="s">
        <v>347</v>
      </c>
      <c r="I10" s="1301" t="s">
        <v>348</v>
      </c>
      <c r="J10" s="1293" t="s">
        <v>349</v>
      </c>
      <c r="K10" s="1295" t="s">
        <v>63</v>
      </c>
      <c r="L10" s="1297" t="s">
        <v>64</v>
      </c>
      <c r="M10" s="1299" t="s">
        <v>345</v>
      </c>
      <c r="N10" s="1301" t="s">
        <v>348</v>
      </c>
      <c r="O10" s="1307"/>
    </row>
    <row r="11" spans="1:15" ht="15" customHeight="1" thickBot="1">
      <c r="A11" s="1308"/>
      <c r="B11" s="1298"/>
      <c r="C11" s="1296"/>
      <c r="D11" s="1296"/>
      <c r="E11" s="1298"/>
      <c r="F11" s="1313"/>
      <c r="G11" s="1313"/>
      <c r="H11" s="1300"/>
      <c r="I11" s="1302"/>
      <c r="J11" s="1294"/>
      <c r="K11" s="1296"/>
      <c r="L11" s="1298"/>
      <c r="M11" s="1300"/>
      <c r="N11" s="1302"/>
      <c r="O11" s="1308"/>
    </row>
    <row r="12" spans="1:15" ht="15.75" thickTop="1">
      <c r="A12" s="910" t="s">
        <v>350</v>
      </c>
      <c r="B12" s="911" t="s">
        <v>105</v>
      </c>
      <c r="C12" s="912" t="s">
        <v>105</v>
      </c>
      <c r="D12" s="912">
        <v>80</v>
      </c>
      <c r="E12" s="912">
        <v>41</v>
      </c>
      <c r="F12" s="913">
        <v>0</v>
      </c>
      <c r="G12" s="914">
        <v>10</v>
      </c>
      <c r="H12" s="915">
        <v>0</v>
      </c>
      <c r="I12" s="916">
        <f aca="true" t="shared" si="0" ref="I12:I23">SUM(B12:H12)</f>
        <v>131</v>
      </c>
      <c r="J12" s="911" t="s">
        <v>105</v>
      </c>
      <c r="K12" s="917" t="s">
        <v>105</v>
      </c>
      <c r="L12" s="913">
        <v>7</v>
      </c>
      <c r="M12" s="913">
        <v>11</v>
      </c>
      <c r="N12" s="916">
        <f aca="true" t="shared" si="1" ref="N12:N26">SUM(J12:M12)</f>
        <v>18</v>
      </c>
      <c r="O12" s="916">
        <f aca="true" t="shared" si="2" ref="O12:O23">SUM(I12+N12)</f>
        <v>149</v>
      </c>
    </row>
    <row r="13" spans="1:15" ht="15">
      <c r="A13" s="918" t="s">
        <v>351</v>
      </c>
      <c r="B13" s="919" t="s">
        <v>105</v>
      </c>
      <c r="C13" s="917" t="s">
        <v>105</v>
      </c>
      <c r="D13" s="912">
        <v>75</v>
      </c>
      <c r="E13" s="912">
        <v>72</v>
      </c>
      <c r="F13" s="913">
        <v>0</v>
      </c>
      <c r="G13" s="914">
        <v>134</v>
      </c>
      <c r="H13" s="913">
        <v>0</v>
      </c>
      <c r="I13" s="916">
        <f t="shared" si="0"/>
        <v>281</v>
      </c>
      <c r="J13" s="911" t="s">
        <v>105</v>
      </c>
      <c r="K13" s="917" t="s">
        <v>105</v>
      </c>
      <c r="L13" s="913">
        <v>20</v>
      </c>
      <c r="M13" s="913">
        <v>95</v>
      </c>
      <c r="N13" s="916">
        <f t="shared" si="1"/>
        <v>115</v>
      </c>
      <c r="O13" s="916">
        <f t="shared" si="2"/>
        <v>396</v>
      </c>
    </row>
    <row r="14" spans="1:15" ht="15">
      <c r="A14" s="744" t="s">
        <v>352</v>
      </c>
      <c r="B14" s="920" t="s">
        <v>105</v>
      </c>
      <c r="C14" s="742" t="s">
        <v>105</v>
      </c>
      <c r="D14" s="921">
        <v>65</v>
      </c>
      <c r="E14" s="921">
        <v>59</v>
      </c>
      <c r="F14" s="913">
        <v>0</v>
      </c>
      <c r="G14" s="922">
        <v>20</v>
      </c>
      <c r="H14" s="922">
        <v>0</v>
      </c>
      <c r="I14" s="923">
        <f t="shared" si="0"/>
        <v>144</v>
      </c>
      <c r="J14" s="911" t="s">
        <v>105</v>
      </c>
      <c r="K14" s="742" t="s">
        <v>105</v>
      </c>
      <c r="L14" s="922">
        <v>95</v>
      </c>
      <c r="M14" s="922">
        <v>93</v>
      </c>
      <c r="N14" s="923">
        <f t="shared" si="1"/>
        <v>188</v>
      </c>
      <c r="O14" s="923">
        <f t="shared" si="2"/>
        <v>332</v>
      </c>
    </row>
    <row r="15" spans="1:15" ht="15">
      <c r="A15" s="744" t="s">
        <v>353</v>
      </c>
      <c r="B15" s="920">
        <v>1</v>
      </c>
      <c r="C15" s="921">
        <v>2</v>
      </c>
      <c r="D15" s="921">
        <v>157</v>
      </c>
      <c r="E15" s="921">
        <v>96</v>
      </c>
      <c r="F15" s="922">
        <v>3</v>
      </c>
      <c r="G15" s="921">
        <v>4</v>
      </c>
      <c r="H15" s="924">
        <v>0</v>
      </c>
      <c r="I15" s="923">
        <f t="shared" si="0"/>
        <v>263</v>
      </c>
      <c r="J15" s="911" t="s">
        <v>105</v>
      </c>
      <c r="K15" s="742" t="s">
        <v>105</v>
      </c>
      <c r="L15" s="922">
        <v>307</v>
      </c>
      <c r="M15" s="922">
        <v>208</v>
      </c>
      <c r="N15" s="923">
        <f t="shared" si="1"/>
        <v>515</v>
      </c>
      <c r="O15" s="923">
        <f t="shared" si="2"/>
        <v>778</v>
      </c>
    </row>
    <row r="16" spans="1:15" ht="14.25">
      <c r="A16" s="744" t="s">
        <v>354</v>
      </c>
      <c r="B16" s="920">
        <v>74</v>
      </c>
      <c r="C16" s="921">
        <v>33</v>
      </c>
      <c r="D16" s="921">
        <v>756</v>
      </c>
      <c r="E16" s="921">
        <v>102</v>
      </c>
      <c r="F16" s="921">
        <v>3</v>
      </c>
      <c r="G16" s="921">
        <v>0</v>
      </c>
      <c r="H16" s="925">
        <v>0</v>
      </c>
      <c r="I16" s="923">
        <f t="shared" si="0"/>
        <v>968</v>
      </c>
      <c r="J16" s="920">
        <v>5</v>
      </c>
      <c r="K16" s="742" t="s">
        <v>105</v>
      </c>
      <c r="L16" s="922">
        <v>149</v>
      </c>
      <c r="M16" s="922">
        <v>22</v>
      </c>
      <c r="N16" s="923">
        <f t="shared" si="1"/>
        <v>176</v>
      </c>
      <c r="O16" s="923">
        <f t="shared" si="2"/>
        <v>1144</v>
      </c>
    </row>
    <row r="17" spans="1:15" ht="14.25">
      <c r="A17" s="744" t="s">
        <v>355</v>
      </c>
      <c r="B17" s="749">
        <v>345</v>
      </c>
      <c r="C17" s="921">
        <v>91</v>
      </c>
      <c r="D17" s="921">
        <v>16</v>
      </c>
      <c r="E17" s="921">
        <v>3</v>
      </c>
      <c r="F17" s="921">
        <v>0</v>
      </c>
      <c r="G17" s="742">
        <v>0</v>
      </c>
      <c r="H17" s="925">
        <v>0</v>
      </c>
      <c r="I17" s="923">
        <f t="shared" si="0"/>
        <v>455</v>
      </c>
      <c r="J17" s="749" t="s">
        <v>105</v>
      </c>
      <c r="K17" s="742" t="s">
        <v>105</v>
      </c>
      <c r="L17" s="922">
        <v>16</v>
      </c>
      <c r="M17" s="922" t="s">
        <v>105</v>
      </c>
      <c r="N17" s="923">
        <f t="shared" si="1"/>
        <v>16</v>
      </c>
      <c r="O17" s="923">
        <f t="shared" si="2"/>
        <v>471</v>
      </c>
    </row>
    <row r="18" spans="1:15" ht="14.25">
      <c r="A18" s="744" t="s">
        <v>356</v>
      </c>
      <c r="B18" s="749">
        <v>399</v>
      </c>
      <c r="C18" s="921">
        <v>53</v>
      </c>
      <c r="D18" s="922" t="s">
        <v>105</v>
      </c>
      <c r="E18" s="922" t="s">
        <v>105</v>
      </c>
      <c r="F18" s="742">
        <v>1</v>
      </c>
      <c r="G18" s="742">
        <v>0</v>
      </c>
      <c r="H18" s="925">
        <v>0</v>
      </c>
      <c r="I18" s="923">
        <f t="shared" si="0"/>
        <v>453</v>
      </c>
      <c r="J18" s="749">
        <v>5</v>
      </c>
      <c r="K18" s="921">
        <v>1</v>
      </c>
      <c r="L18" s="922">
        <v>2</v>
      </c>
      <c r="M18" s="922" t="s">
        <v>105</v>
      </c>
      <c r="N18" s="923">
        <f t="shared" si="1"/>
        <v>8</v>
      </c>
      <c r="O18" s="923">
        <f t="shared" si="2"/>
        <v>461</v>
      </c>
    </row>
    <row r="19" spans="1:15" ht="14.25">
      <c r="A19" s="744" t="s">
        <v>357</v>
      </c>
      <c r="B19" s="749">
        <v>226</v>
      </c>
      <c r="C19" s="921">
        <v>27</v>
      </c>
      <c r="D19" s="922">
        <v>1</v>
      </c>
      <c r="E19" s="922" t="s">
        <v>105</v>
      </c>
      <c r="F19" s="921">
        <v>0</v>
      </c>
      <c r="G19" s="921">
        <v>0</v>
      </c>
      <c r="H19" s="925">
        <v>0</v>
      </c>
      <c r="I19" s="923">
        <f t="shared" si="0"/>
        <v>254</v>
      </c>
      <c r="J19" s="749">
        <v>17</v>
      </c>
      <c r="K19" s="921">
        <v>11</v>
      </c>
      <c r="L19" s="922">
        <v>2</v>
      </c>
      <c r="M19" s="922" t="s">
        <v>105</v>
      </c>
      <c r="N19" s="923">
        <f t="shared" si="1"/>
        <v>30</v>
      </c>
      <c r="O19" s="923">
        <f t="shared" si="2"/>
        <v>284</v>
      </c>
    </row>
    <row r="20" spans="1:15" ht="14.25">
      <c r="A20" s="744" t="s">
        <v>358</v>
      </c>
      <c r="B20" s="749">
        <v>16</v>
      </c>
      <c r="C20" s="921">
        <v>7</v>
      </c>
      <c r="D20" s="749" t="s">
        <v>105</v>
      </c>
      <c r="E20" s="749" t="s">
        <v>105</v>
      </c>
      <c r="F20" s="749">
        <v>0</v>
      </c>
      <c r="G20" s="742">
        <v>0</v>
      </c>
      <c r="H20" s="925">
        <v>0</v>
      </c>
      <c r="I20" s="923">
        <f t="shared" si="0"/>
        <v>23</v>
      </c>
      <c r="J20" s="749">
        <v>1</v>
      </c>
      <c r="K20" s="921">
        <v>3</v>
      </c>
      <c r="L20" s="926" t="s">
        <v>105</v>
      </c>
      <c r="M20" s="922" t="s">
        <v>105</v>
      </c>
      <c r="N20" s="923">
        <f t="shared" si="1"/>
        <v>4</v>
      </c>
      <c r="O20" s="923">
        <f t="shared" si="2"/>
        <v>27</v>
      </c>
    </row>
    <row r="21" spans="1:15" ht="14.25">
      <c r="A21" s="744" t="s">
        <v>359</v>
      </c>
      <c r="B21" s="749">
        <v>21</v>
      </c>
      <c r="C21" s="921">
        <v>3</v>
      </c>
      <c r="D21" s="920" t="s">
        <v>105</v>
      </c>
      <c r="E21" s="920" t="s">
        <v>105</v>
      </c>
      <c r="F21" s="920">
        <v>0</v>
      </c>
      <c r="G21" s="742">
        <v>0</v>
      </c>
      <c r="H21" s="925">
        <v>0</v>
      </c>
      <c r="I21" s="923">
        <f t="shared" si="0"/>
        <v>24</v>
      </c>
      <c r="J21" s="749">
        <v>5</v>
      </c>
      <c r="K21" s="921">
        <v>3</v>
      </c>
      <c r="L21" s="926" t="s">
        <v>105</v>
      </c>
      <c r="M21" s="922" t="s">
        <v>105</v>
      </c>
      <c r="N21" s="923">
        <f t="shared" si="1"/>
        <v>8</v>
      </c>
      <c r="O21" s="923">
        <f t="shared" si="2"/>
        <v>32</v>
      </c>
    </row>
    <row r="22" spans="1:15" ht="14.25">
      <c r="A22" s="744" t="s">
        <v>360</v>
      </c>
      <c r="B22" s="749">
        <v>29</v>
      </c>
      <c r="C22" s="920">
        <v>4</v>
      </c>
      <c r="D22" s="920" t="s">
        <v>105</v>
      </c>
      <c r="E22" s="920" t="s">
        <v>105</v>
      </c>
      <c r="F22" s="920">
        <v>0</v>
      </c>
      <c r="G22" s="742">
        <v>0</v>
      </c>
      <c r="H22" s="925">
        <v>0</v>
      </c>
      <c r="I22" s="923">
        <f t="shared" si="0"/>
        <v>33</v>
      </c>
      <c r="J22" s="749">
        <v>86</v>
      </c>
      <c r="K22" s="921">
        <v>63</v>
      </c>
      <c r="L22" s="926" t="s">
        <v>105</v>
      </c>
      <c r="M22" s="922" t="s">
        <v>105</v>
      </c>
      <c r="N22" s="923">
        <f t="shared" si="1"/>
        <v>149</v>
      </c>
      <c r="O22" s="923">
        <f t="shared" si="2"/>
        <v>182</v>
      </c>
    </row>
    <row r="23" spans="1:15" ht="14.25">
      <c r="A23" s="744" t="s">
        <v>361</v>
      </c>
      <c r="B23" s="920">
        <v>2</v>
      </c>
      <c r="C23" s="749" t="s">
        <v>105</v>
      </c>
      <c r="D23" s="920" t="s">
        <v>105</v>
      </c>
      <c r="E23" s="920" t="s">
        <v>105</v>
      </c>
      <c r="F23" s="920">
        <v>0</v>
      </c>
      <c r="G23" s="742">
        <v>0</v>
      </c>
      <c r="H23" s="925">
        <v>0</v>
      </c>
      <c r="I23" s="923">
        <f t="shared" si="0"/>
        <v>2</v>
      </c>
      <c r="J23" s="749">
        <v>39</v>
      </c>
      <c r="K23" s="921">
        <v>2</v>
      </c>
      <c r="L23" s="926" t="s">
        <v>105</v>
      </c>
      <c r="M23" s="922" t="s">
        <v>105</v>
      </c>
      <c r="N23" s="923">
        <f t="shared" si="1"/>
        <v>41</v>
      </c>
      <c r="O23" s="923">
        <f t="shared" si="2"/>
        <v>43</v>
      </c>
    </row>
    <row r="24" spans="1:15" ht="14.25">
      <c r="A24" s="744" t="s">
        <v>362</v>
      </c>
      <c r="B24" s="749" t="s">
        <v>105</v>
      </c>
      <c r="C24" s="749" t="s">
        <v>105</v>
      </c>
      <c r="D24" s="920" t="s">
        <v>105</v>
      </c>
      <c r="E24" s="920" t="s">
        <v>105</v>
      </c>
      <c r="F24" s="920">
        <v>0</v>
      </c>
      <c r="G24" s="742">
        <v>0</v>
      </c>
      <c r="H24" s="925">
        <v>0</v>
      </c>
      <c r="I24" s="923" t="s">
        <v>105</v>
      </c>
      <c r="J24" s="749">
        <v>5</v>
      </c>
      <c r="K24" s="921" t="s">
        <v>105</v>
      </c>
      <c r="L24" s="926" t="s">
        <v>105</v>
      </c>
      <c r="M24" s="922" t="s">
        <v>105</v>
      </c>
      <c r="N24" s="923">
        <f t="shared" si="1"/>
        <v>5</v>
      </c>
      <c r="O24" s="923">
        <f>SUM(N24)</f>
        <v>5</v>
      </c>
    </row>
    <row r="25" spans="1:15" ht="14.25">
      <c r="A25" s="744" t="s">
        <v>363</v>
      </c>
      <c r="B25" s="749" t="s">
        <v>105</v>
      </c>
      <c r="C25" s="922" t="s">
        <v>105</v>
      </c>
      <c r="D25" s="926" t="s">
        <v>105</v>
      </c>
      <c r="E25" s="926" t="s">
        <v>105</v>
      </c>
      <c r="F25" s="926">
        <v>0</v>
      </c>
      <c r="G25" s="926">
        <v>0</v>
      </c>
      <c r="H25" s="926">
        <v>0</v>
      </c>
      <c r="I25" s="923" t="s">
        <v>105</v>
      </c>
      <c r="J25" s="749">
        <v>5</v>
      </c>
      <c r="K25" s="921" t="s">
        <v>105</v>
      </c>
      <c r="L25" s="926" t="s">
        <v>105</v>
      </c>
      <c r="M25" s="922" t="s">
        <v>105</v>
      </c>
      <c r="N25" s="923">
        <f t="shared" si="1"/>
        <v>5</v>
      </c>
      <c r="O25" s="923">
        <f>SUM(N25)</f>
        <v>5</v>
      </c>
    </row>
    <row r="26" spans="1:15" ht="15" thickBot="1">
      <c r="A26" s="927" t="s">
        <v>364</v>
      </c>
      <c r="B26" s="928">
        <v>8</v>
      </c>
      <c r="C26" s="929" t="s">
        <v>105</v>
      </c>
      <c r="D26" s="930">
        <v>1</v>
      </c>
      <c r="E26" s="929" t="s">
        <v>105</v>
      </c>
      <c r="F26" s="929">
        <v>0</v>
      </c>
      <c r="G26" s="930">
        <v>0</v>
      </c>
      <c r="H26" s="930">
        <v>0</v>
      </c>
      <c r="I26" s="931">
        <f>SUM(B26:H26)</f>
        <v>9</v>
      </c>
      <c r="J26" s="928">
        <v>65</v>
      </c>
      <c r="K26" s="932" t="s">
        <v>105</v>
      </c>
      <c r="L26" s="930" t="s">
        <v>105</v>
      </c>
      <c r="M26" s="922" t="s">
        <v>105</v>
      </c>
      <c r="N26" s="923">
        <f t="shared" si="1"/>
        <v>65</v>
      </c>
      <c r="O26" s="923">
        <f>SUM(I26+N26)</f>
        <v>74</v>
      </c>
    </row>
    <row r="27" spans="1:15" ht="16.5" thickBot="1" thickTop="1">
      <c r="A27" s="933" t="s">
        <v>195</v>
      </c>
      <c r="B27" s="934">
        <f aca="true" t="shared" si="3" ref="B27:G27">SUM(B12:B26)</f>
        <v>1121</v>
      </c>
      <c r="C27" s="935">
        <f t="shared" si="3"/>
        <v>220</v>
      </c>
      <c r="D27" s="935">
        <f t="shared" si="3"/>
        <v>1151</v>
      </c>
      <c r="E27" s="935">
        <f t="shared" si="3"/>
        <v>373</v>
      </c>
      <c r="F27" s="936">
        <f t="shared" si="3"/>
        <v>7</v>
      </c>
      <c r="G27" s="935">
        <f t="shared" si="3"/>
        <v>168</v>
      </c>
      <c r="H27" s="936" t="s">
        <v>105</v>
      </c>
      <c r="I27" s="931">
        <f>SUM(B27:H27)</f>
        <v>3040</v>
      </c>
      <c r="J27" s="934">
        <f>SUM(J12:J26)</f>
        <v>233</v>
      </c>
      <c r="K27" s="935">
        <f>SUM(K12:K26)</f>
        <v>83</v>
      </c>
      <c r="L27" s="936">
        <f>SUM(L12:L26)</f>
        <v>598</v>
      </c>
      <c r="M27" s="936">
        <f>SUM(M12:M26)</f>
        <v>429</v>
      </c>
      <c r="N27" s="937">
        <f>SUM(N12:N26)</f>
        <v>1343</v>
      </c>
      <c r="O27" s="937">
        <f>SUM(I27+N27)</f>
        <v>4383</v>
      </c>
    </row>
    <row r="28" spans="1:15" ht="15.75" thickTop="1">
      <c r="A28" s="668"/>
      <c r="B28" s="668"/>
      <c r="C28" s="668"/>
      <c r="D28" s="668"/>
      <c r="E28" s="668"/>
      <c r="F28" s="668"/>
      <c r="G28" s="668"/>
      <c r="H28" s="668"/>
      <c r="I28" s="668"/>
      <c r="J28" s="668"/>
      <c r="K28" s="668"/>
      <c r="L28" s="668"/>
      <c r="M28" s="668"/>
      <c r="N28" s="668"/>
      <c r="O28" s="668"/>
    </row>
  </sheetData>
  <sheetProtection/>
  <mergeCells count="21">
    <mergeCell ref="D10:D11"/>
    <mergeCell ref="E10:E11"/>
    <mergeCell ref="F10:F11"/>
    <mergeCell ref="G10:G11"/>
    <mergeCell ref="H10:H11"/>
    <mergeCell ref="A1:O1"/>
    <mergeCell ref="A5:O5"/>
    <mergeCell ref="A6:O6"/>
    <mergeCell ref="A7:O7"/>
    <mergeCell ref="A9:A11"/>
    <mergeCell ref="B9:I9"/>
    <mergeCell ref="J9:N9"/>
    <mergeCell ref="O9:O11"/>
    <mergeCell ref="B10:B11"/>
    <mergeCell ref="C10:C11"/>
    <mergeCell ref="J10:J11"/>
    <mergeCell ref="K10:K11"/>
    <mergeCell ref="L10:L11"/>
    <mergeCell ref="M10:M11"/>
    <mergeCell ref="N10:N11"/>
    <mergeCell ref="I10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احمد سالم</dc:creator>
  <cp:keywords/>
  <dc:description/>
  <cp:lastModifiedBy>Emy</cp:lastModifiedBy>
  <cp:lastPrinted>2007-02-06T11:29:34Z</cp:lastPrinted>
  <dcterms:created xsi:type="dcterms:W3CDTF">1998-04-11T10:07:25Z</dcterms:created>
  <dcterms:modified xsi:type="dcterms:W3CDTF">2010-12-17T15:28:45Z</dcterms:modified>
  <cp:category/>
  <cp:version/>
  <cp:contentType/>
  <cp:contentStatus/>
</cp:coreProperties>
</file>