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415" windowHeight="5610" activeTab="2"/>
  </bookViews>
  <sheets>
    <sheet name="all" sheetId="1" r:id="rId1"/>
    <sheet name="one" sheetId="2" r:id="rId2"/>
    <sheet name="main" sheetId="3" r:id="rId3"/>
  </sheets>
  <definedNames/>
  <calcPr fullCalcOnLoad="1"/>
</workbook>
</file>

<file path=xl/sharedStrings.xml><?xml version="1.0" encoding="utf-8"?>
<sst xmlns="http://schemas.openxmlformats.org/spreadsheetml/2006/main" count="120" uniqueCount="104">
  <si>
    <t>جملة المتغير</t>
  </si>
  <si>
    <t>جملة المستقطع</t>
  </si>
  <si>
    <t>حافز مدير</t>
  </si>
  <si>
    <t>العلاوة الدورية</t>
  </si>
  <si>
    <t>رابطة تعليم</t>
  </si>
  <si>
    <t>أسر منتجة</t>
  </si>
  <si>
    <t>مدة سابقة</t>
  </si>
  <si>
    <t>صندوق رعاية</t>
  </si>
  <si>
    <t>سلفة جزاءات</t>
  </si>
  <si>
    <t>محمد عبد الجواد صالح</t>
  </si>
  <si>
    <t>نادى المعلمين</t>
  </si>
  <si>
    <t>نقابة تطبيقيين</t>
  </si>
  <si>
    <t>نقابة اجتماعيين</t>
  </si>
  <si>
    <t>نقابة زراعيين</t>
  </si>
  <si>
    <t>نقابة عمالية</t>
  </si>
  <si>
    <t>سلفة البنك</t>
  </si>
  <si>
    <t>1.5% تأمين صحي</t>
  </si>
  <si>
    <t>حافز 25%</t>
  </si>
  <si>
    <t>علاوة إضافية</t>
  </si>
  <si>
    <t>علاوة اجتماعية</t>
  </si>
  <si>
    <t>عادية</t>
  </si>
  <si>
    <t>المنقول من :</t>
  </si>
  <si>
    <t>إلى :</t>
  </si>
  <si>
    <t>المبالغ المستقطعة</t>
  </si>
  <si>
    <t>المرتب الأساسي</t>
  </si>
  <si>
    <t>15 % حصة الحكومة</t>
  </si>
  <si>
    <t>1 % إصابة عمل</t>
  </si>
  <si>
    <t>2 % حصة مكافأة</t>
  </si>
  <si>
    <t>منحة مايو</t>
  </si>
  <si>
    <t>25 % حافز</t>
  </si>
  <si>
    <t>20 % علاوة 2005</t>
  </si>
  <si>
    <t>10 % علاوة 2006</t>
  </si>
  <si>
    <t>15 % علاوة 2007</t>
  </si>
  <si>
    <t>30 % علاوة 2008</t>
  </si>
  <si>
    <t>10 % علاوة 2009</t>
  </si>
  <si>
    <t>حافز إثابة</t>
  </si>
  <si>
    <t>كادر مرحلة أولى</t>
  </si>
  <si>
    <t>كادر مرحلة ثانية</t>
  </si>
  <si>
    <t>جملة الأجور المتغيرة</t>
  </si>
  <si>
    <t>جملة المبالغ المستحقة</t>
  </si>
  <si>
    <t>المبالغ االمستحقة</t>
  </si>
  <si>
    <t>10 % حصة الموظف</t>
  </si>
  <si>
    <t>2 % حصة المكافأة</t>
  </si>
  <si>
    <t>3 % اشتراك المكافأة</t>
  </si>
  <si>
    <t>1.5 % تأمين صحي</t>
  </si>
  <si>
    <t>7 % زمالة</t>
  </si>
  <si>
    <t>نقابات وهيئات</t>
  </si>
  <si>
    <t>نادي المعلمين</t>
  </si>
  <si>
    <t>0.5 % حصة المؤمن عليه</t>
  </si>
  <si>
    <t>كشــف مفــردات مــرتــب</t>
  </si>
  <si>
    <t>جملة المبالغ المستقطعة</t>
  </si>
  <si>
    <t xml:space="preserve">السيد الأستاذ / </t>
  </si>
  <si>
    <t>وتفضلوا بقبول فائق التقدير والاحترام</t>
  </si>
  <si>
    <t>المختص</t>
  </si>
  <si>
    <t>رئيس القسم</t>
  </si>
  <si>
    <t>رئيس الماهيات</t>
  </si>
  <si>
    <t>المدير المالي</t>
  </si>
  <si>
    <t xml:space="preserve">استمارة رقم 137 ع ح  </t>
  </si>
  <si>
    <t>الوزارة</t>
  </si>
  <si>
    <t>المحافظة</t>
  </si>
  <si>
    <t>الإدارة</t>
  </si>
  <si>
    <t>المدرسة</t>
  </si>
  <si>
    <t>الأجور الأساسية</t>
  </si>
  <si>
    <t>مستحقات الأجور الأساسية</t>
  </si>
  <si>
    <t>الأجور المتغيرة</t>
  </si>
  <si>
    <t>مستحقات الأجور المتغيرة</t>
  </si>
  <si>
    <t>مستقطعات الأجور الأساسية</t>
  </si>
  <si>
    <t>مستقطعات الأجور المتغيرة</t>
  </si>
  <si>
    <t>مستقطعات أخــــــــرى</t>
  </si>
  <si>
    <t>الأساسي القديم</t>
  </si>
  <si>
    <t>منحة عيد العمال</t>
  </si>
  <si>
    <t>1 5</t>
  </si>
  <si>
    <t>نقابة المعلمين</t>
  </si>
  <si>
    <t>حافز ماجستير/ دكتوراة</t>
  </si>
  <si>
    <t>الوظيفة</t>
  </si>
  <si>
    <t>الدرجة</t>
  </si>
  <si>
    <t>الجنس</t>
  </si>
  <si>
    <t>الحالة الاجتماعية</t>
  </si>
  <si>
    <t>م+1</t>
  </si>
  <si>
    <t>ذكر</t>
  </si>
  <si>
    <t>مدرس</t>
  </si>
  <si>
    <t>أعلى مؤهل</t>
  </si>
  <si>
    <t>عدد موظفي المدرسة</t>
  </si>
  <si>
    <t>وزارة التربية والتعليم</t>
  </si>
  <si>
    <t>تربية</t>
  </si>
  <si>
    <t>ثالثة</t>
  </si>
  <si>
    <t>التوقيع بالاستلام</t>
  </si>
  <si>
    <t>الصافى المقتضى صرفه</t>
  </si>
  <si>
    <t>البيانات الأساسية للسادة الموظفين</t>
  </si>
  <si>
    <t>أسماء السادة الموظفين</t>
  </si>
  <si>
    <t>رقم مسلسل</t>
  </si>
  <si>
    <t>أساسيات تشغيل البرنامج :</t>
  </si>
  <si>
    <t>ممنوع تعديل مكان أي مكون من مكونات البرنامج ؛ لأن أي تغيير سيخل بسير البرنامج</t>
  </si>
  <si>
    <t>زر تجهيز كشف المرتبات يتم الضغط عليه مرة واحدة في بداية العمل على كشف المرتبات</t>
  </si>
  <si>
    <t>الحد الأدنى للعلاوة</t>
  </si>
  <si>
    <t>تجهيز الكشف للعام الجديد يتم الضغط عليها مرة واحدة خلال شهر يوليو من كل عام</t>
  </si>
  <si>
    <t>إذا أردت إضافة موظف أو حذف موظف لا تقم بها يدويا فقد ينتج عنها الكثير من الأخطاء</t>
  </si>
  <si>
    <t>يجب ملء الحقول الخاصة بالمدرسة في أعلى يمين الصفحة الرئيسية قبل البدء في الاستخدام</t>
  </si>
  <si>
    <t>المبـــــــالغ المستـــــــــــــحقة</t>
  </si>
  <si>
    <t>المبــــــالغ المستقـــــــــطعة</t>
  </si>
  <si>
    <t>ينبغي البدء ببيانات الموظفين أولا الموجودة في آخر الكشف ؛ لأنه سيتم الحساب على اساسها</t>
  </si>
  <si>
    <t>محافظة بورسعيد</t>
  </si>
  <si>
    <t>إدارة جنوب</t>
  </si>
  <si>
    <t>مدرسة إحميدان على إحميدان الإعدادية المشتركة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</si>
</sst>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0.000"/>
    <numFmt numFmtId="173" formatCode="[$-C01]dd\ mmmm\,\ yyyy"/>
  </numFmts>
  <fonts count="31">
    <font>
      <sz val="11"/>
      <color indexed="8"/>
      <name val="Arial"/>
      <family val="2"/>
    </font>
    <font>
      <b/>
      <sz val="11"/>
      <name val="PT Simple Bold Ruled"/>
      <family val="0"/>
    </font>
    <font>
      <sz val="11"/>
      <color indexed="8"/>
      <name val="Old Antic Bold"/>
      <family val="0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PT Simple Bold Ruled"/>
      <family val="0"/>
    </font>
    <font>
      <b/>
      <sz val="11"/>
      <color indexed="8"/>
      <name val="Arial"/>
      <family val="2"/>
    </font>
    <font>
      <b/>
      <sz val="18"/>
      <color indexed="10"/>
      <name val="Arial"/>
      <family val="2"/>
    </font>
    <font>
      <strike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1"/>
      <color indexed="9"/>
      <name val="Calibri"/>
      <family val="0"/>
    </font>
    <font>
      <sz val="11"/>
      <color indexed="9"/>
      <name val="Calibri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/>
    </border>
    <border>
      <left/>
      <right style="thick"/>
      <top/>
      <bottom/>
    </border>
    <border>
      <left style="thin"/>
      <right style="thin"/>
      <top style="thick"/>
      <bottom style="thick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 style="thick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medium"/>
      <right style="medium"/>
      <top style="medium"/>
      <bottom style="medium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1" applyNumberFormat="0" applyFill="0" applyAlignment="0" applyProtection="0"/>
    <xf numFmtId="0" fontId="19" fillId="16" borderId="2" applyNumberFormat="0" applyAlignment="0" applyProtection="0"/>
    <xf numFmtId="0" fontId="18" fillId="7" borderId="3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3" applyNumberFormat="0" applyAlignment="0" applyProtection="0"/>
    <xf numFmtId="0" fontId="22" fillId="21" borderId="4" applyNumberFormat="0" applyAlignment="0" applyProtection="0"/>
    <xf numFmtId="0" fontId="21" fillId="0" borderId="5" applyNumberFormat="0" applyFill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right" readingOrder="2"/>
    </xf>
    <xf numFmtId="0" fontId="3" fillId="0" borderId="0" xfId="0" applyFont="1" applyAlignment="1">
      <alignment horizontal="left" vertical="center" readingOrder="2"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 vertical="center" readingOrder="2"/>
    </xf>
    <xf numFmtId="0" fontId="0" fillId="0" borderId="0" xfId="0" applyAlignment="1">
      <alignment horizontal="center" vertical="center" readingOrder="2"/>
    </xf>
    <xf numFmtId="0" fontId="0" fillId="0" borderId="0" xfId="0" applyAlignment="1">
      <alignment readingOrder="2"/>
    </xf>
    <xf numFmtId="0" fontId="3" fillId="0" borderId="0" xfId="0" applyFont="1" applyAlignment="1">
      <alignment vertical="center" readingOrder="2"/>
    </xf>
    <xf numFmtId="0" fontId="0" fillId="0" borderId="0" xfId="0" applyAlignment="1">
      <alignment vertical="center" readingOrder="2"/>
    </xf>
    <xf numFmtId="0" fontId="0" fillId="0" borderId="10" xfId="0" applyBorder="1" applyAlignment="1">
      <alignment vertical="center" readingOrder="2"/>
    </xf>
    <xf numFmtId="0" fontId="0" fillId="0" borderId="10" xfId="0" applyBorder="1" applyAlignment="1">
      <alignment horizontal="right" vertical="center" readingOrder="2"/>
    </xf>
    <xf numFmtId="0" fontId="0" fillId="0" borderId="11" xfId="0" applyBorder="1" applyAlignment="1">
      <alignment vertical="center" readingOrder="2"/>
    </xf>
    <xf numFmtId="0" fontId="3" fillId="0" borderId="12" xfId="0" applyFont="1" applyBorder="1" applyAlignment="1">
      <alignment vertical="center" readingOrder="2"/>
    </xf>
    <xf numFmtId="2" fontId="3" fillId="0" borderId="13" xfId="0" applyNumberFormat="1" applyFont="1" applyBorder="1" applyAlignment="1">
      <alignment vertical="center" readingOrder="2"/>
    </xf>
    <xf numFmtId="0" fontId="3" fillId="0" borderId="14" xfId="0" applyFont="1" applyBorder="1" applyAlignment="1">
      <alignment horizontal="right" vertical="center" readingOrder="2"/>
    </xf>
    <xf numFmtId="0" fontId="3" fillId="0" borderId="14" xfId="0" applyFont="1" applyBorder="1" applyAlignment="1">
      <alignment vertical="center" readingOrder="2"/>
    </xf>
    <xf numFmtId="2" fontId="3" fillId="0" borderId="14" xfId="0" applyNumberFormat="1" applyFont="1" applyBorder="1" applyAlignment="1">
      <alignment vertical="center" readingOrder="2"/>
    </xf>
    <xf numFmtId="0" fontId="3" fillId="0" borderId="15" xfId="0" applyFont="1" applyBorder="1" applyAlignment="1">
      <alignment horizontal="right" vertical="center" readingOrder="2"/>
    </xf>
    <xf numFmtId="2" fontId="3" fillId="0" borderId="16" xfId="0" applyNumberFormat="1" applyFont="1" applyBorder="1" applyAlignment="1">
      <alignment vertical="center" readingOrder="2"/>
    </xf>
    <xf numFmtId="0" fontId="3" fillId="0" borderId="17" xfId="0" applyFont="1" applyBorder="1" applyAlignment="1">
      <alignment horizontal="right" vertical="center" readingOrder="2"/>
    </xf>
    <xf numFmtId="0" fontId="3" fillId="0" borderId="17" xfId="0" applyFont="1" applyBorder="1" applyAlignment="1">
      <alignment vertical="center" readingOrder="2"/>
    </xf>
    <xf numFmtId="2" fontId="3" fillId="0" borderId="17" xfId="0" applyNumberFormat="1" applyFont="1" applyBorder="1" applyAlignment="1">
      <alignment vertical="center" readingOrder="2"/>
    </xf>
    <xf numFmtId="0" fontId="3" fillId="0" borderId="18" xfId="0" applyFont="1" applyBorder="1" applyAlignment="1">
      <alignment horizontal="right" vertical="center" readingOrder="2"/>
    </xf>
    <xf numFmtId="10" fontId="3" fillId="0" borderId="17" xfId="0" applyNumberFormat="1" applyFont="1" applyBorder="1" applyAlignment="1">
      <alignment horizontal="right" vertical="center" readingOrder="2"/>
    </xf>
    <xf numFmtId="9" fontId="3" fillId="0" borderId="18" xfId="0" applyNumberFormat="1" applyFont="1" applyBorder="1" applyAlignment="1">
      <alignment horizontal="right" vertical="center" readingOrder="2"/>
    </xf>
    <xf numFmtId="0" fontId="4" fillId="0" borderId="17" xfId="0" applyFont="1" applyBorder="1" applyAlignment="1">
      <alignment horizontal="right" vertical="center" readingOrder="2"/>
    </xf>
    <xf numFmtId="0" fontId="4" fillId="0" borderId="18" xfId="0" applyFont="1" applyBorder="1" applyAlignment="1">
      <alignment horizontal="right" vertical="center" readingOrder="2"/>
    </xf>
    <xf numFmtId="2" fontId="3" fillId="0" borderId="19" xfId="0" applyNumberFormat="1" applyFont="1" applyBorder="1" applyAlignment="1">
      <alignment vertical="center" readingOrder="2"/>
    </xf>
    <xf numFmtId="172" fontId="3" fillId="0" borderId="0" xfId="0" applyNumberFormat="1" applyFont="1" applyAlignment="1">
      <alignment horizontal="right" vertical="center" readingOrder="2"/>
    </xf>
    <xf numFmtId="0" fontId="3" fillId="0" borderId="0" xfId="0" applyFont="1" applyAlignment="1">
      <alignment horizontal="center" vertical="center" readingOrder="2"/>
    </xf>
    <xf numFmtId="0" fontId="2" fillId="0" borderId="0" xfId="0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0" fontId="5" fillId="0" borderId="0" xfId="0" applyFont="1" applyAlignment="1">
      <alignment horizontal="left" vertical="center" readingOrder="2"/>
    </xf>
    <xf numFmtId="0" fontId="0" fillId="0" borderId="0" xfId="0" applyAlignment="1">
      <alignment wrapText="1"/>
    </xf>
    <xf numFmtId="0" fontId="3" fillId="0" borderId="0" xfId="0" applyFont="1" applyAlignment="1">
      <alignment horizontal="right" vertical="center" readingOrder="2"/>
    </xf>
    <xf numFmtId="2" fontId="0" fillId="0" borderId="0" xfId="0" applyNumberFormat="1" applyAlignment="1">
      <alignment readingOrder="2"/>
    </xf>
    <xf numFmtId="0" fontId="0" fillId="0" borderId="0" xfId="0" applyBorder="1" applyAlignment="1">
      <alignment readingOrder="2"/>
    </xf>
    <xf numFmtId="2" fontId="0" fillId="0" borderId="0" xfId="0" applyNumberFormat="1" applyBorder="1" applyAlignment="1">
      <alignment readingOrder="2"/>
    </xf>
    <xf numFmtId="0" fontId="0" fillId="0" borderId="0" xfId="0" applyBorder="1" applyAlignment="1">
      <alignment horizontal="center" vertical="center" readingOrder="2"/>
    </xf>
    <xf numFmtId="2" fontId="0" fillId="0" borderId="0" xfId="0" applyNumberFormat="1" applyBorder="1" applyAlignment="1">
      <alignment horizontal="center" vertical="center" readingOrder="2"/>
    </xf>
    <xf numFmtId="0" fontId="1" fillId="18" borderId="0" xfId="0" applyFont="1" applyFill="1" applyAlignment="1">
      <alignment readingOrder="2"/>
    </xf>
    <xf numFmtId="2" fontId="0" fillId="0" borderId="0" xfId="0" applyNumberFormat="1" applyAlignment="1">
      <alignment horizontal="center" vertical="center" wrapText="1" readingOrder="2"/>
    </xf>
    <xf numFmtId="0" fontId="0" fillId="0" borderId="0" xfId="0" applyBorder="1" applyAlignment="1">
      <alignment horizontal="center" vertical="center" wrapText="1" readingOrder="2"/>
    </xf>
    <xf numFmtId="2" fontId="0" fillId="0" borderId="0" xfId="0" applyNumberFormat="1" applyBorder="1" applyAlignment="1">
      <alignment horizontal="center" vertical="center" wrapText="1" readingOrder="2"/>
    </xf>
    <xf numFmtId="0" fontId="6" fillId="0" borderId="0" xfId="0" applyFont="1" applyAlignment="1">
      <alignment readingOrder="2"/>
    </xf>
    <xf numFmtId="0" fontId="7" fillId="24" borderId="20" xfId="0" applyFont="1" applyFill="1" applyBorder="1" applyAlignment="1">
      <alignment horizontal="center" vertical="center" readingOrder="2"/>
    </xf>
    <xf numFmtId="0" fontId="8" fillId="0" borderId="0" xfId="0" applyFont="1" applyAlignment="1">
      <alignment readingOrder="2"/>
    </xf>
    <xf numFmtId="0" fontId="6" fillId="0" borderId="0" xfId="0" applyFont="1" applyAlignment="1">
      <alignment horizontal="center" vertical="center" wrapText="1" readingOrder="2"/>
    </xf>
    <xf numFmtId="9" fontId="6" fillId="0" borderId="0" xfId="0" applyNumberFormat="1" applyFont="1" applyAlignment="1" applyProtection="1">
      <alignment horizontal="center" vertical="center" wrapText="1" readingOrder="2"/>
      <protection/>
    </xf>
    <xf numFmtId="10" fontId="6" fillId="0" borderId="0" xfId="0" applyNumberFormat="1" applyFont="1" applyAlignment="1" applyProtection="1">
      <alignment horizontal="center" vertical="center" wrapText="1" readingOrder="2"/>
      <protection/>
    </xf>
    <xf numFmtId="0" fontId="0" fillId="0" borderId="0" xfId="0" applyAlignment="1" applyProtection="1">
      <alignment horizontal="center" vertical="center" wrapText="1" readingOrder="2"/>
      <protection/>
    </xf>
    <xf numFmtId="2" fontId="0" fillId="0" borderId="0" xfId="0" applyNumberFormat="1" applyAlignment="1" applyProtection="1">
      <alignment horizontal="center" vertical="center" readingOrder="2"/>
      <protection/>
    </xf>
    <xf numFmtId="2" fontId="0" fillId="0" borderId="0" xfId="0" applyNumberFormat="1" applyAlignment="1" applyProtection="1">
      <alignment horizontal="center" vertical="center" wrapText="1" readingOrder="2"/>
      <protection/>
    </xf>
    <xf numFmtId="0" fontId="0" fillId="0" borderId="0" xfId="0" applyAlignment="1" applyProtection="1">
      <alignment horizontal="center" vertical="center" readingOrder="2"/>
      <protection/>
    </xf>
    <xf numFmtId="0" fontId="0" fillId="0" borderId="0" xfId="0" applyAlignment="1" applyProtection="1">
      <alignment readingOrder="2"/>
      <protection/>
    </xf>
    <xf numFmtId="2" fontId="0" fillId="0" borderId="0" xfId="0" applyNumberFormat="1" applyBorder="1" applyAlignment="1" applyProtection="1">
      <alignment horizontal="center" vertical="center" readingOrder="2"/>
      <protection/>
    </xf>
    <xf numFmtId="0" fontId="0" fillId="0" borderId="0" xfId="0" applyBorder="1" applyAlignment="1" applyProtection="1">
      <alignment horizontal="center" vertical="center" readingOrder="2"/>
      <protection/>
    </xf>
    <xf numFmtId="0" fontId="0" fillId="0" borderId="0" xfId="0" applyBorder="1" applyAlignment="1" applyProtection="1">
      <alignment readingOrder="2"/>
      <protection/>
    </xf>
    <xf numFmtId="0" fontId="6" fillId="0" borderId="0" xfId="0" applyFont="1" applyAlignment="1" applyProtection="1">
      <alignment horizontal="center" vertical="center" wrapText="1" readingOrder="2"/>
      <protection/>
    </xf>
    <xf numFmtId="0" fontId="0" fillId="0" borderId="0" xfId="0" applyAlignment="1">
      <alignment horizontal="center" vertical="center" wrapText="1" readingOrder="2"/>
    </xf>
    <xf numFmtId="0" fontId="0" fillId="0" borderId="21" xfId="0" applyBorder="1" applyAlignment="1">
      <alignment vertical="center" wrapText="1" readingOrder="2"/>
    </xf>
    <xf numFmtId="0" fontId="0" fillId="0" borderId="22" xfId="0" applyBorder="1" applyAlignment="1">
      <alignment vertical="center" wrapText="1" readingOrder="2"/>
    </xf>
    <xf numFmtId="0" fontId="0" fillId="0" borderId="0" xfId="0" applyBorder="1" applyAlignment="1" applyProtection="1">
      <alignment horizontal="center" vertical="center" wrapText="1" readingOrder="2"/>
      <protection/>
    </xf>
    <xf numFmtId="2" fontId="0" fillId="0" borderId="0" xfId="0" applyNumberFormat="1" applyBorder="1" applyAlignment="1" applyProtection="1">
      <alignment horizontal="center" vertical="center" wrapText="1" readingOrder="2"/>
      <protection/>
    </xf>
    <xf numFmtId="0" fontId="6" fillId="0" borderId="0" xfId="0" applyFont="1" applyAlignment="1" applyProtection="1">
      <alignment horizontal="center" readingOrder="2"/>
      <protection/>
    </xf>
    <xf numFmtId="0" fontId="6" fillId="0" borderId="0" xfId="0" applyFont="1" applyAlignment="1" applyProtection="1">
      <alignment horizontal="center" vertical="center" wrapText="1" readingOrder="2"/>
      <protection/>
    </xf>
    <xf numFmtId="0" fontId="0" fillId="0" borderId="0" xfId="0" applyAlignment="1" applyProtection="1">
      <alignment horizontal="center" vertical="center" textRotation="90" wrapText="1" readingOrder="2"/>
      <protection/>
    </xf>
    <xf numFmtId="0" fontId="9" fillId="24" borderId="23" xfId="0" applyFont="1" applyFill="1" applyBorder="1" applyAlignment="1">
      <alignment horizontal="center"/>
    </xf>
    <xf numFmtId="0" fontId="9" fillId="24" borderId="24" xfId="0" applyFont="1" applyFill="1" applyBorder="1" applyAlignment="1">
      <alignment horizontal="center"/>
    </xf>
    <xf numFmtId="0" fontId="3" fillId="0" borderId="0" xfId="0" applyFont="1" applyAlignment="1">
      <alignment vertical="center" readingOrder="2"/>
    </xf>
    <xf numFmtId="0" fontId="4" fillId="0" borderId="25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center" vertical="center" readingOrder="2"/>
    </xf>
    <xf numFmtId="0" fontId="4" fillId="0" borderId="26" xfId="0" applyFont="1" applyBorder="1" applyAlignment="1">
      <alignment horizontal="center" vertical="center" readingOrder="2"/>
    </xf>
    <xf numFmtId="0" fontId="0" fillId="0" borderId="0" xfId="0" applyAlignment="1">
      <alignment horizontal="left" vertical="center" readingOrder="2"/>
    </xf>
    <xf numFmtId="0" fontId="0" fillId="0" borderId="0" xfId="0" applyFont="1" applyAlignment="1">
      <alignment horizontal="left" vertical="center" readingOrder="2"/>
    </xf>
    <xf numFmtId="0" fontId="4" fillId="0" borderId="0" xfId="0" applyFont="1" applyAlignment="1">
      <alignment horizontal="center" vertical="center" readingOrder="2"/>
    </xf>
    <xf numFmtId="0" fontId="6" fillId="0" borderId="27" xfId="0" applyFont="1" applyBorder="1" applyAlignment="1">
      <alignment horizontal="right" vertical="center" wrapText="1" shrinkToFit="1" readingOrder="2"/>
    </xf>
    <xf numFmtId="0" fontId="3" fillId="0" borderId="0" xfId="0" applyFont="1" applyAlignment="1">
      <alignment horizontal="right" vertical="center" readingOrder="2"/>
    </xf>
    <xf numFmtId="0" fontId="5" fillId="0" borderId="0" xfId="0" applyFont="1" applyAlignment="1">
      <alignment vertical="center" readingOrder="2"/>
    </xf>
    <xf numFmtId="0" fontId="3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right" vertical="top" wrapText="1" readingOrder="2"/>
    </xf>
    <xf numFmtId="2" fontId="10" fillId="25" borderId="0" xfId="0" applyNumberFormat="1" applyFont="1" applyFill="1" applyAlignment="1">
      <alignment horizontal="center" readingOrder="2"/>
    </xf>
    <xf numFmtId="0" fontId="10" fillId="25" borderId="0" xfId="0" applyFont="1" applyFill="1" applyAlignment="1">
      <alignment horizontal="center" readingOrder="2"/>
    </xf>
    <xf numFmtId="9" fontId="10" fillId="25" borderId="0" xfId="0" applyNumberFormat="1" applyFont="1" applyFill="1" applyAlignment="1">
      <alignment horizontal="center" readingOrder="2"/>
    </xf>
    <xf numFmtId="0" fontId="27" fillId="0" borderId="0" xfId="0" applyFont="1" applyAlignment="1">
      <alignment horizontal="right" readingOrder="2"/>
    </xf>
    <xf numFmtId="0" fontId="1" fillId="18" borderId="0" xfId="0" applyFont="1" applyFill="1" applyAlignment="1">
      <alignment horizontal="center" vertical="center" readingOrder="2"/>
    </xf>
    <xf numFmtId="0" fontId="26" fillId="0" borderId="0" xfId="0" applyFont="1" applyAlignment="1">
      <alignment horizontal="right" vertical="center" readingOrder="2"/>
    </xf>
    <xf numFmtId="0" fontId="27" fillId="0" borderId="0" xfId="0" applyFont="1" applyAlignment="1">
      <alignment horizontal="right" vertical="center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الإجمالي" xfId="38"/>
    <cellStyle name="إخراج" xfId="39"/>
    <cellStyle name="إدخال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main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one!A1" /><Relationship Id="rId2" Type="http://schemas.openxmlformats.org/officeDocument/2006/relationships/hyperlink" Target="#al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85725</xdr:rowOff>
    </xdr:from>
    <xdr:to>
      <xdr:col>10</xdr:col>
      <xdr:colOff>161925</xdr:colOff>
      <xdr:row>1</xdr:row>
      <xdr:rowOff>152400</xdr:rowOff>
    </xdr:to>
    <xdr:sp>
      <xdr:nvSpPr>
        <xdr:cNvPr id="1" name="مستطيل مستدير الزوايا 3">
          <a:hlinkClick r:id="rId1"/>
        </xdr:cNvPr>
        <xdr:cNvSpPr>
          <a:spLocks/>
        </xdr:cNvSpPr>
      </xdr:nvSpPr>
      <xdr:spPr>
        <a:xfrm>
          <a:off x="6534150" y="85725"/>
          <a:ext cx="1704975" cy="2952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الصفحة</a:t>
          </a:r>
          <a:r>
            <a:rPr lang="en-US" cap="none" sz="1100" b="1" i="0" u="none" baseline="0">
              <a:solidFill>
                <a:srgbClr val="FFFFFF"/>
              </a:solidFill>
            </a:rPr>
            <a:t> الرئيسية</a:t>
          </a:r>
        </a:p>
      </xdr:txBody>
    </xdr:sp>
    <xdr:clientData/>
  </xdr:twoCellAnchor>
  <xdr:twoCellAnchor>
    <xdr:from>
      <xdr:col>7</xdr:col>
      <xdr:colOff>257175</xdr:colOff>
      <xdr:row>3</xdr:row>
      <xdr:rowOff>152400</xdr:rowOff>
    </xdr:from>
    <xdr:to>
      <xdr:col>10</xdr:col>
      <xdr:colOff>590550</xdr:colOff>
      <xdr:row>7</xdr:row>
      <xdr:rowOff>209550</xdr:rowOff>
    </xdr:to>
    <xdr:sp>
      <xdr:nvSpPr>
        <xdr:cNvPr id="2" name="تمرير عمودي 4"/>
        <xdr:cNvSpPr>
          <a:spLocks/>
        </xdr:cNvSpPr>
      </xdr:nvSpPr>
      <xdr:spPr>
        <a:xfrm>
          <a:off x="6343650" y="857250"/>
          <a:ext cx="2324100" cy="962025"/>
        </a:xfrm>
        <a:prstGeom prst="verticalScrol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اختر اسم الموظف من القائمة أوضع  رقم مسلسل الموظف في المربع الأصفر واضغط انتر لتحصل على مفردات مرتبه جاهزة للطباعة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266700</xdr:rowOff>
    </xdr:from>
    <xdr:to>
      <xdr:col>8</xdr:col>
      <xdr:colOff>666750</xdr:colOff>
      <xdr:row>1</xdr:row>
      <xdr:rowOff>266700</xdr:rowOff>
    </xdr:to>
    <xdr:sp macro="[0]!Pre">
      <xdr:nvSpPr>
        <xdr:cNvPr id="1" name="مستطيل مستدير الزوايا 8"/>
        <xdr:cNvSpPr>
          <a:spLocks/>
        </xdr:cNvSpPr>
      </xdr:nvSpPr>
      <xdr:spPr>
        <a:xfrm>
          <a:off x="4533900" y="266700"/>
          <a:ext cx="1343025" cy="323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تجهيز كشف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</a:rPr>
            <a:t>المرتبات</a:t>
          </a:r>
        </a:p>
      </xdr:txBody>
    </xdr:sp>
    <xdr:clientData/>
  </xdr:twoCellAnchor>
  <xdr:twoCellAnchor>
    <xdr:from>
      <xdr:col>7</xdr:col>
      <xdr:colOff>47625</xdr:colOff>
      <xdr:row>2</xdr:row>
      <xdr:rowOff>47625</xdr:rowOff>
    </xdr:from>
    <xdr:to>
      <xdr:col>8</xdr:col>
      <xdr:colOff>504825</xdr:colOff>
      <xdr:row>3</xdr:row>
      <xdr:rowOff>66675</xdr:rowOff>
    </xdr:to>
    <xdr:sp macro="[0]!AdM">
      <xdr:nvSpPr>
        <xdr:cNvPr id="2" name="مستطيل مستدير الزوايا 9"/>
        <xdr:cNvSpPr>
          <a:spLocks/>
        </xdr:cNvSpPr>
      </xdr:nvSpPr>
      <xdr:spPr>
        <a:xfrm>
          <a:off x="4572000" y="695325"/>
          <a:ext cx="1143000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إضافة موظف</a:t>
          </a:r>
        </a:p>
      </xdr:txBody>
    </xdr:sp>
    <xdr:clientData/>
  </xdr:twoCellAnchor>
  <xdr:twoCellAnchor>
    <xdr:from>
      <xdr:col>7</xdr:col>
      <xdr:colOff>47625</xdr:colOff>
      <xdr:row>3</xdr:row>
      <xdr:rowOff>142875</xdr:rowOff>
    </xdr:from>
    <xdr:to>
      <xdr:col>8</xdr:col>
      <xdr:colOff>514350</xdr:colOff>
      <xdr:row>4</xdr:row>
      <xdr:rowOff>152400</xdr:rowOff>
    </xdr:to>
    <xdr:sp macro="[0]!DelM">
      <xdr:nvSpPr>
        <xdr:cNvPr id="3" name="مستطيل مستدير الزوايا 11"/>
        <xdr:cNvSpPr>
          <a:spLocks/>
        </xdr:cNvSpPr>
      </xdr:nvSpPr>
      <xdr:spPr>
        <a:xfrm>
          <a:off x="4572000" y="1123950"/>
          <a:ext cx="1152525" cy="3429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حذف موظف</a:t>
          </a:r>
        </a:p>
      </xdr:txBody>
    </xdr:sp>
    <xdr:clientData/>
  </xdr:twoCellAnchor>
  <xdr:twoCellAnchor>
    <xdr:from>
      <xdr:col>7</xdr:col>
      <xdr:colOff>19050</xdr:colOff>
      <xdr:row>5</xdr:row>
      <xdr:rowOff>0</xdr:rowOff>
    </xdr:from>
    <xdr:to>
      <xdr:col>8</xdr:col>
      <xdr:colOff>657225</xdr:colOff>
      <xdr:row>6</xdr:row>
      <xdr:rowOff>28575</xdr:rowOff>
    </xdr:to>
    <xdr:sp>
      <xdr:nvSpPr>
        <xdr:cNvPr id="4" name="مستطيل مستدير الزوايا 14">
          <a:hlinkClick r:id="rId1"/>
        </xdr:cNvPr>
        <xdr:cNvSpPr>
          <a:spLocks/>
        </xdr:cNvSpPr>
      </xdr:nvSpPr>
      <xdr:spPr>
        <a:xfrm>
          <a:off x="4543425" y="1638300"/>
          <a:ext cx="1323975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طباعة مفردات مرتب</a:t>
          </a:r>
        </a:p>
      </xdr:txBody>
    </xdr:sp>
    <xdr:clientData/>
  </xdr:twoCellAnchor>
  <xdr:twoCellAnchor>
    <xdr:from>
      <xdr:col>9</xdr:col>
      <xdr:colOff>19050</xdr:colOff>
      <xdr:row>0</xdr:row>
      <xdr:rowOff>219075</xdr:rowOff>
    </xdr:from>
    <xdr:to>
      <xdr:col>10</xdr:col>
      <xdr:colOff>609600</xdr:colOff>
      <xdr:row>2</xdr:row>
      <xdr:rowOff>47625</xdr:rowOff>
    </xdr:to>
    <xdr:sp>
      <xdr:nvSpPr>
        <xdr:cNvPr id="5" name="سداسي 15">
          <a:hlinkClick r:id="rId2"/>
        </xdr:cNvPr>
        <xdr:cNvSpPr>
          <a:spLocks/>
        </xdr:cNvSpPr>
      </xdr:nvSpPr>
      <xdr:spPr>
        <a:xfrm>
          <a:off x="5915025" y="219075"/>
          <a:ext cx="1276350" cy="476250"/>
        </a:xfrm>
        <a:prstGeom prst="hexag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كشف</a:t>
          </a:r>
          <a:r>
            <a:rPr lang="en-US" cap="none" sz="1100" b="1" i="0" u="none" baseline="0">
              <a:solidFill>
                <a:srgbClr val="FFFFFF"/>
              </a:solidFill>
            </a:rPr>
            <a:t> المرتبات</a:t>
          </a:r>
        </a:p>
      </xdr:txBody>
    </xdr:sp>
    <xdr:clientData/>
  </xdr:twoCellAnchor>
  <xdr:twoCellAnchor>
    <xdr:from>
      <xdr:col>9</xdr:col>
      <xdr:colOff>9525</xdr:colOff>
      <xdr:row>4</xdr:row>
      <xdr:rowOff>295275</xdr:rowOff>
    </xdr:from>
    <xdr:to>
      <xdr:col>10</xdr:col>
      <xdr:colOff>600075</xdr:colOff>
      <xdr:row>6</xdr:row>
      <xdr:rowOff>123825</xdr:rowOff>
    </xdr:to>
    <xdr:sp macro="[0]!NewYear">
      <xdr:nvSpPr>
        <xdr:cNvPr id="6" name="سداسي 16"/>
        <xdr:cNvSpPr>
          <a:spLocks/>
        </xdr:cNvSpPr>
      </xdr:nvSpPr>
      <xdr:spPr>
        <a:xfrm>
          <a:off x="5905500" y="1609725"/>
          <a:ext cx="1276350" cy="476250"/>
        </a:xfrm>
        <a:prstGeom prst="hexag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تجهيز الكشف للعام</a:t>
          </a:r>
          <a:r>
            <a:rPr lang="en-US" cap="none" sz="1100" b="1" i="0" u="none" baseline="0">
              <a:solidFill>
                <a:srgbClr val="FFFFFF"/>
              </a:solidFill>
            </a:rPr>
            <a:t> الجديد</a:t>
          </a:r>
        </a:p>
      </xdr:txBody>
    </xdr:sp>
    <xdr:clientData/>
  </xdr:twoCellAnchor>
  <xdr:twoCellAnchor>
    <xdr:from>
      <xdr:col>10</xdr:col>
      <xdr:colOff>28575</xdr:colOff>
      <xdr:row>0</xdr:row>
      <xdr:rowOff>276225</xdr:rowOff>
    </xdr:from>
    <xdr:to>
      <xdr:col>12</xdr:col>
      <xdr:colOff>466725</xdr:colOff>
      <xdr:row>6</xdr:row>
      <xdr:rowOff>57150</xdr:rowOff>
    </xdr:to>
    <xdr:sp>
      <xdr:nvSpPr>
        <xdr:cNvPr id="7" name="وسيلة شرح مع سهم إلى اليمين 17"/>
        <xdr:cNvSpPr>
          <a:spLocks/>
        </xdr:cNvSpPr>
      </xdr:nvSpPr>
      <xdr:spPr>
        <a:xfrm>
          <a:off x="6610350" y="276225"/>
          <a:ext cx="1809750" cy="1743075"/>
        </a:xfrm>
        <a:prstGeom prst="rightArrowCallout">
          <a:avLst>
            <a:gd name="adj1" fmla="val 14976"/>
            <a:gd name="adj2" fmla="val 2657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اكتب هنا رقم مسلسل الموظف الجديد أو المحذوف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1"/>
  <dimension ref="A1:BH103"/>
  <sheetViews>
    <sheetView rightToLeft="1" zoomScaleSheetLayoutView="96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A3"/>
    </sheetView>
  </sheetViews>
  <sheetFormatPr defaultColWidth="9.00390625" defaultRowHeight="14.25"/>
  <cols>
    <col min="1" max="1" width="3.125" style="6" bestFit="1" customWidth="1"/>
    <col min="2" max="2" width="7.375" style="6" bestFit="1" customWidth="1"/>
    <col min="3" max="3" width="5.25390625" style="6" customWidth="1"/>
    <col min="4" max="4" width="5.375" style="6" bestFit="1" customWidth="1"/>
    <col min="5" max="6" width="6.375" style="6" bestFit="1" customWidth="1"/>
    <col min="7" max="7" width="6.00390625" style="6" bestFit="1" customWidth="1"/>
    <col min="8" max="8" width="4.375" style="6" bestFit="1" customWidth="1"/>
    <col min="9" max="9" width="5.375" style="6" bestFit="1" customWidth="1"/>
    <col min="10" max="10" width="6.375" style="6" bestFit="1" customWidth="1"/>
    <col min="11" max="11" width="5.375" style="6" bestFit="1" customWidth="1"/>
    <col min="12" max="13" width="6.375" style="6" bestFit="1" customWidth="1"/>
    <col min="14" max="14" width="7.375" style="6" customWidth="1"/>
    <col min="15" max="15" width="6.375" style="6" bestFit="1" customWidth="1"/>
    <col min="16" max="16" width="5.125" style="6" customWidth="1"/>
    <col min="17" max="17" width="6.25390625" style="6" customWidth="1"/>
    <col min="18" max="22" width="5.375" style="6" bestFit="1" customWidth="1"/>
    <col min="23" max="23" width="7.375" style="6" bestFit="1" customWidth="1"/>
    <col min="24" max="24" width="8.375" style="6" customWidth="1"/>
    <col min="25" max="25" width="8.625" style="6" customWidth="1"/>
    <col min="26" max="26" width="5.375" style="6" bestFit="1" customWidth="1"/>
    <col min="27" max="27" width="7.375" style="6" bestFit="1" customWidth="1"/>
    <col min="28" max="28" width="6.375" style="6" bestFit="1" customWidth="1"/>
    <col min="29" max="29" width="6.125" style="6" bestFit="1" customWidth="1"/>
    <col min="30" max="32" width="5.125" style="6" bestFit="1" customWidth="1"/>
    <col min="33" max="34" width="6.00390625" style="6" bestFit="1" customWidth="1"/>
    <col min="35" max="35" width="6.125" style="6" bestFit="1" customWidth="1"/>
    <col min="36" max="36" width="5.75390625" style="6" bestFit="1" customWidth="1"/>
    <col min="37" max="38" width="6.25390625" style="6" customWidth="1"/>
    <col min="39" max="39" width="5.125" style="6" bestFit="1" customWidth="1"/>
    <col min="40" max="40" width="6.125" style="6" customWidth="1"/>
    <col min="41" max="41" width="5.75390625" style="6" customWidth="1"/>
    <col min="42" max="42" width="6.125" style="6" customWidth="1"/>
    <col min="43" max="43" width="7.50390625" style="6" customWidth="1"/>
    <col min="44" max="44" width="5.875" style="6" bestFit="1" customWidth="1"/>
    <col min="45" max="47" width="5.125" style="6" bestFit="1" customWidth="1"/>
    <col min="48" max="48" width="5.75390625" style="6" customWidth="1"/>
    <col min="49" max="50" width="5.125" style="6" bestFit="1" customWidth="1"/>
    <col min="51" max="51" width="6.50390625" style="6" customWidth="1"/>
    <col min="52" max="53" width="7.25390625" style="6" bestFit="1" customWidth="1"/>
    <col min="54" max="54" width="14.625" style="6" bestFit="1" customWidth="1"/>
    <col min="55" max="55" width="6.25390625" style="6" customWidth="1"/>
    <col min="56" max="56" width="4.875" style="6" bestFit="1" customWidth="1"/>
    <col min="57" max="57" width="9.50390625" style="6" bestFit="1" customWidth="1"/>
    <col min="58" max="58" width="7.125" style="6" bestFit="1" customWidth="1"/>
    <col min="59" max="59" width="5.375" style="6" customWidth="1"/>
    <col min="60" max="16384" width="9.00390625" style="6" customWidth="1"/>
  </cols>
  <sheetData>
    <row r="1" spans="1:60" s="44" customFormat="1" ht="14.25" customHeight="1">
      <c r="A1" s="66" t="s">
        <v>90</v>
      </c>
      <c r="B1" s="64" t="s">
        <v>98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 t="s">
        <v>99</v>
      </c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5" t="s">
        <v>87</v>
      </c>
      <c r="BB1" s="65" t="s">
        <v>88</v>
      </c>
      <c r="BC1" s="65"/>
      <c r="BD1" s="65"/>
      <c r="BE1" s="65"/>
      <c r="BF1" s="65"/>
      <c r="BG1" s="65"/>
      <c r="BH1" s="65" t="s">
        <v>86</v>
      </c>
    </row>
    <row r="2" spans="1:60" s="44" customFormat="1" ht="15">
      <c r="A2" s="66"/>
      <c r="B2" s="64" t="s">
        <v>62</v>
      </c>
      <c r="C2" s="64"/>
      <c r="D2" s="64"/>
      <c r="E2" s="64"/>
      <c r="F2" s="64" t="s">
        <v>63</v>
      </c>
      <c r="G2" s="64"/>
      <c r="H2" s="64"/>
      <c r="I2" s="64"/>
      <c r="J2" s="64" t="s">
        <v>64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 t="s">
        <v>65</v>
      </c>
      <c r="Y2" s="64"/>
      <c r="Z2" s="65" t="s">
        <v>70</v>
      </c>
      <c r="AA2" s="65" t="s">
        <v>39</v>
      </c>
      <c r="AB2" s="64" t="s">
        <v>66</v>
      </c>
      <c r="AC2" s="64"/>
      <c r="AD2" s="64"/>
      <c r="AE2" s="64"/>
      <c r="AF2" s="64"/>
      <c r="AG2" s="64"/>
      <c r="AH2" s="64"/>
      <c r="AI2" s="64"/>
      <c r="AJ2" s="64"/>
      <c r="AK2" s="64" t="s">
        <v>67</v>
      </c>
      <c r="AL2" s="64"/>
      <c r="AM2" s="64"/>
      <c r="AN2" s="64" t="s">
        <v>68</v>
      </c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5" t="s">
        <v>1</v>
      </c>
      <c r="BA2" s="65"/>
      <c r="BB2" s="65"/>
      <c r="BC2" s="65"/>
      <c r="BD2" s="65"/>
      <c r="BE2" s="65"/>
      <c r="BF2" s="65"/>
      <c r="BG2" s="65"/>
      <c r="BH2" s="65"/>
    </row>
    <row r="3" spans="1:60" s="47" customFormat="1" ht="60">
      <c r="A3" s="66"/>
      <c r="B3" s="58" t="s">
        <v>69</v>
      </c>
      <c r="C3" s="58" t="s">
        <v>3</v>
      </c>
      <c r="D3" s="58" t="str">
        <f ca="1">"علاوة "&amp;IF(MONTH(TODAY())&gt;=7,YEAR(TODAY())-5,YEAR(TODAY())-6)</f>
        <v>علاوة 2004</v>
      </c>
      <c r="E3" s="58" t="s">
        <v>24</v>
      </c>
      <c r="F3" s="48">
        <v>0.15</v>
      </c>
      <c r="G3" s="49">
        <v>0.015</v>
      </c>
      <c r="H3" s="48">
        <v>0.01</v>
      </c>
      <c r="I3" s="48">
        <v>0.02</v>
      </c>
      <c r="J3" s="48" t="s">
        <v>2</v>
      </c>
      <c r="K3" s="48" t="s">
        <v>35</v>
      </c>
      <c r="L3" s="48" t="s">
        <v>36</v>
      </c>
      <c r="M3" s="48" t="s">
        <v>37</v>
      </c>
      <c r="N3" s="48" t="s">
        <v>73</v>
      </c>
      <c r="O3" s="48" t="s">
        <v>17</v>
      </c>
      <c r="P3" s="58" t="s">
        <v>18</v>
      </c>
      <c r="Q3" s="58" t="s">
        <v>19</v>
      </c>
      <c r="R3" s="58" t="str">
        <f ca="1">"علاوة "&amp;IF(MONTH(TODAY())&gt;=7,YEAR(TODAY())-4,YEAR(TODAY())-5)</f>
        <v>علاوة 2005</v>
      </c>
      <c r="S3" s="58" t="str">
        <f ca="1">"علاوة "&amp;IF(MONTH(TODAY())&gt;=7,YEAR(TODAY())-3,YEAR(TODAY())-4)</f>
        <v>علاوة 2006</v>
      </c>
      <c r="T3" s="58" t="str">
        <f ca="1">"علاوة "&amp;IF(MONTH(TODAY())&gt;=7,YEAR(TODAY())-2,YEAR(TODAY())-3)</f>
        <v>علاوة 2007</v>
      </c>
      <c r="U3" s="58" t="str">
        <f ca="1">"علاوة "&amp;IF(MONTH(TODAY())&gt;=7,YEAR(TODAY())-1,YEAR(TODAY())-2)</f>
        <v>علاوة 2008</v>
      </c>
      <c r="V3" s="58" t="str">
        <f ca="1">"علاوة "&amp;IF(MONTH(TODAY())&gt;=7,YEAR(TODAY()),YEAR(TODAY())-1)</f>
        <v>علاوة 2009</v>
      </c>
      <c r="W3" s="58" t="s">
        <v>0</v>
      </c>
      <c r="X3" s="48">
        <v>0.15</v>
      </c>
      <c r="Y3" s="48">
        <v>0.01</v>
      </c>
      <c r="Z3" s="65"/>
      <c r="AA3" s="65"/>
      <c r="AB3" s="48">
        <v>0.15</v>
      </c>
      <c r="AC3" s="48">
        <v>0.1</v>
      </c>
      <c r="AD3" s="48">
        <v>0.01</v>
      </c>
      <c r="AE3" s="48">
        <v>0.02</v>
      </c>
      <c r="AF3" s="48">
        <v>0.03</v>
      </c>
      <c r="AG3" s="49">
        <v>0.015</v>
      </c>
      <c r="AH3" s="49">
        <v>0.005</v>
      </c>
      <c r="AI3" s="48">
        <v>0.07</v>
      </c>
      <c r="AJ3" s="58" t="s">
        <v>20</v>
      </c>
      <c r="AK3" s="48">
        <v>0.15</v>
      </c>
      <c r="AL3" s="48">
        <v>0.1</v>
      </c>
      <c r="AM3" s="58" t="s">
        <v>71</v>
      </c>
      <c r="AN3" s="58" t="s">
        <v>72</v>
      </c>
      <c r="AO3" s="58" t="s">
        <v>10</v>
      </c>
      <c r="AP3" s="58" t="s">
        <v>11</v>
      </c>
      <c r="AQ3" s="58" t="s">
        <v>12</v>
      </c>
      <c r="AR3" s="58" t="s">
        <v>13</v>
      </c>
      <c r="AS3" s="58" t="s">
        <v>14</v>
      </c>
      <c r="AT3" s="58" t="s">
        <v>4</v>
      </c>
      <c r="AU3" s="58" t="s">
        <v>5</v>
      </c>
      <c r="AV3" s="58" t="s">
        <v>7</v>
      </c>
      <c r="AW3" s="58" t="s">
        <v>15</v>
      </c>
      <c r="AX3" s="58" t="s">
        <v>6</v>
      </c>
      <c r="AY3" s="58" t="s">
        <v>8</v>
      </c>
      <c r="AZ3" s="65"/>
      <c r="BA3" s="65"/>
      <c r="BB3" s="58" t="s">
        <v>89</v>
      </c>
      <c r="BC3" s="58" t="s">
        <v>74</v>
      </c>
      <c r="BD3" s="58" t="s">
        <v>75</v>
      </c>
      <c r="BE3" s="58" t="s">
        <v>81</v>
      </c>
      <c r="BF3" s="58" t="s">
        <v>77</v>
      </c>
      <c r="BG3" s="58" t="s">
        <v>76</v>
      </c>
      <c r="BH3" s="65"/>
    </row>
    <row r="4" spans="1:60" ht="14.25">
      <c r="A4" s="50">
        <v>1</v>
      </c>
      <c r="B4" s="51">
        <v>164.8</v>
      </c>
      <c r="C4" s="51">
        <f>IF(BD4="كبير",6,IF(BD4="أولى",5,IF(BD4="ثانية",5,IF(BD4="ثالثة",4,IF(BD4="رابعة",2,1.5)))))</f>
        <v>4</v>
      </c>
      <c r="D4" s="51">
        <v>4.8</v>
      </c>
      <c r="E4" s="52">
        <f>B4+C4+D4</f>
        <v>173.60000000000002</v>
      </c>
      <c r="F4" s="51">
        <f>E4*15%</f>
        <v>26.040000000000003</v>
      </c>
      <c r="G4" s="51">
        <f>E4*1.5%</f>
        <v>2.604</v>
      </c>
      <c r="H4" s="51">
        <f>E4*1%</f>
        <v>1.7360000000000002</v>
      </c>
      <c r="I4" s="51">
        <f>E4*2%</f>
        <v>3.4720000000000004</v>
      </c>
      <c r="J4" s="51">
        <f>IF(BC4="مدير",150,0)</f>
        <v>0</v>
      </c>
      <c r="K4" s="51">
        <v>0</v>
      </c>
      <c r="L4" s="51">
        <f>IF(BC4="إداري",0,IF(BC4="عامل",0,B4*50%))</f>
        <v>82.4</v>
      </c>
      <c r="M4" s="51">
        <f>IF(BC4="إداري",0,IF(BC4="عامل",0,IF(BD4="كبير",B4*125%,IF(BD4="أولى",B4*100%,IF(BD4="ثانية",B4*75%,IF(BD4="ثالثة",B4*50%))))))</f>
        <v>82.4</v>
      </c>
      <c r="N4" s="51">
        <f>IF(BE4="ماجستير",100,IF(BE4="دكتوراة",100,0))</f>
        <v>0</v>
      </c>
      <c r="O4" s="51">
        <f>E4*25%</f>
        <v>43.400000000000006</v>
      </c>
      <c r="P4" s="51">
        <v>4</v>
      </c>
      <c r="Q4" s="51">
        <f>IF(BG4="ذكر",IF(BF4="م+2",6,IF(BF4="م+1",4,IF(BF4="م",2,0))),IF(BF4="م+2",2,IF(BF4="م+1",2,IF(BF4="م",2,0))))</f>
        <v>4</v>
      </c>
      <c r="R4" s="51">
        <v>30</v>
      </c>
      <c r="S4" s="51">
        <v>36</v>
      </c>
      <c r="T4" s="51">
        <v>22.08</v>
      </c>
      <c r="U4" s="51">
        <v>46.8</v>
      </c>
      <c r="V4" s="51">
        <f>IF(main!$B$7&gt;(B4*main!$B$6),main!$B$7,B4*main!$B$6)</f>
        <v>16.48</v>
      </c>
      <c r="W4" s="51">
        <f>SUM(J4:V4)</f>
        <v>367.56000000000006</v>
      </c>
      <c r="X4" s="51">
        <f>15%*W4</f>
        <v>55.13400000000001</v>
      </c>
      <c r="Y4" s="51">
        <f>1%*W4</f>
        <v>3.6756000000000006</v>
      </c>
      <c r="Z4" s="51">
        <v>10</v>
      </c>
      <c r="AA4" s="51">
        <f>Y4+X4+Z4+W4+I4+H4+G4+F4+E4</f>
        <v>643.8216000000001</v>
      </c>
      <c r="AB4" s="51">
        <f>E4*15%</f>
        <v>26.040000000000003</v>
      </c>
      <c r="AC4" s="51">
        <f>10%*E4</f>
        <v>17.360000000000003</v>
      </c>
      <c r="AD4" s="51">
        <f>E4*1%</f>
        <v>1.7360000000000002</v>
      </c>
      <c r="AE4" s="51">
        <f>E4*2%</f>
        <v>3.4720000000000004</v>
      </c>
      <c r="AF4" s="51">
        <f>3%*E4</f>
        <v>5.208</v>
      </c>
      <c r="AG4" s="51">
        <f>E4*1.5%</f>
        <v>2.604</v>
      </c>
      <c r="AH4" s="51">
        <f>0.5%*E4</f>
        <v>0.8680000000000001</v>
      </c>
      <c r="AI4" s="51">
        <f>7%*E4</f>
        <v>12.152000000000003</v>
      </c>
      <c r="AJ4" s="51">
        <f>(E4-50)*0.003</f>
        <v>0.3708000000000001</v>
      </c>
      <c r="AK4" s="51">
        <f>15%*W4</f>
        <v>55.13400000000001</v>
      </c>
      <c r="AL4" s="51">
        <f>10%*W4</f>
        <v>36.75600000000001</v>
      </c>
      <c r="AM4" s="51">
        <f>1%*W4</f>
        <v>3.6756000000000006</v>
      </c>
      <c r="AN4" s="51">
        <f>IF(BC4="إداري",0,IF(BC4="عامل",0,3))</f>
        <v>3</v>
      </c>
      <c r="AO4" s="51">
        <f>IF(BC4="إداري",0,IF(BC4="عامل",0,2))</f>
        <v>2</v>
      </c>
      <c r="AP4" s="51">
        <v>0</v>
      </c>
      <c r="AQ4" s="51">
        <v>0</v>
      </c>
      <c r="AR4" s="51">
        <v>0</v>
      </c>
      <c r="AS4" s="51">
        <v>0</v>
      </c>
      <c r="AT4" s="51">
        <v>0</v>
      </c>
      <c r="AU4" s="51">
        <v>0</v>
      </c>
      <c r="AV4" s="51">
        <v>0</v>
      </c>
      <c r="AW4" s="51">
        <v>0</v>
      </c>
      <c r="AX4" s="51">
        <v>0</v>
      </c>
      <c r="AY4" s="51">
        <v>0</v>
      </c>
      <c r="AZ4" s="51">
        <f>SUM(AB4:AY4)</f>
        <v>170.37640000000002</v>
      </c>
      <c r="BA4" s="51">
        <f>AA4-AZ4</f>
        <v>473.4452000000001</v>
      </c>
      <c r="BB4" s="53" t="s">
        <v>9</v>
      </c>
      <c r="BC4" s="53" t="s">
        <v>80</v>
      </c>
      <c r="BD4" s="53" t="s">
        <v>85</v>
      </c>
      <c r="BE4" s="53" t="s">
        <v>84</v>
      </c>
      <c r="BF4" s="53" t="s">
        <v>78</v>
      </c>
      <c r="BG4" s="53" t="s">
        <v>79</v>
      </c>
      <c r="BH4" s="54"/>
    </row>
    <row r="5" spans="1:60" ht="14.25">
      <c r="A5" s="50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3"/>
      <c r="BC5" s="53"/>
      <c r="BD5" s="53"/>
      <c r="BE5" s="53"/>
      <c r="BF5" s="53"/>
      <c r="BG5" s="53"/>
      <c r="BH5" s="54"/>
    </row>
    <row r="6" spans="1:60" ht="14.25">
      <c r="A6" s="50"/>
      <c r="B6" s="51"/>
      <c r="C6" s="51"/>
      <c r="D6" s="51"/>
      <c r="E6" s="52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3"/>
      <c r="BC6" s="53"/>
      <c r="BD6" s="53"/>
      <c r="BE6" s="53"/>
      <c r="BF6" s="53"/>
      <c r="BG6" s="53"/>
      <c r="BH6" s="54"/>
    </row>
    <row r="7" spans="1:60" ht="14.25">
      <c r="A7" s="62"/>
      <c r="B7" s="55"/>
      <c r="C7" s="55"/>
      <c r="D7" s="55"/>
      <c r="E7" s="63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3"/>
      <c r="BC7" s="53"/>
      <c r="BD7" s="53"/>
      <c r="BE7" s="53"/>
      <c r="BF7" s="53"/>
      <c r="BG7" s="53"/>
      <c r="BH7" s="54"/>
    </row>
    <row r="8" spans="1:60" ht="14.25">
      <c r="A8" s="50"/>
      <c r="B8" s="55"/>
      <c r="C8" s="51"/>
      <c r="D8" s="55"/>
      <c r="E8" s="52"/>
      <c r="F8" s="51"/>
      <c r="G8" s="51"/>
      <c r="H8" s="51"/>
      <c r="I8" s="51"/>
      <c r="J8" s="51"/>
      <c r="K8" s="55"/>
      <c r="L8" s="51"/>
      <c r="M8" s="51"/>
      <c r="N8" s="51"/>
      <c r="O8" s="51"/>
      <c r="P8" s="55"/>
      <c r="Q8" s="51"/>
      <c r="R8" s="55"/>
      <c r="S8" s="55"/>
      <c r="T8" s="55"/>
      <c r="U8" s="55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1"/>
      <c r="BA8" s="51"/>
      <c r="BB8" s="51"/>
      <c r="BC8" s="53"/>
      <c r="BD8" s="53"/>
      <c r="BE8" s="53"/>
      <c r="BF8" s="53"/>
      <c r="BG8" s="53"/>
      <c r="BH8" s="54"/>
    </row>
    <row r="9" spans="1:60" s="36" customFormat="1" ht="14.25">
      <c r="A9" s="50"/>
      <c r="B9" s="55"/>
      <c r="C9" s="51"/>
      <c r="D9" s="55"/>
      <c r="E9" s="52"/>
      <c r="F9" s="51"/>
      <c r="G9" s="51"/>
      <c r="H9" s="51"/>
      <c r="I9" s="51"/>
      <c r="J9" s="51"/>
      <c r="K9" s="55"/>
      <c r="L9" s="51"/>
      <c r="M9" s="51"/>
      <c r="N9" s="51"/>
      <c r="O9" s="51"/>
      <c r="P9" s="55"/>
      <c r="Q9" s="51"/>
      <c r="R9" s="55"/>
      <c r="S9" s="55"/>
      <c r="T9" s="55"/>
      <c r="U9" s="55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1"/>
      <c r="BA9" s="51"/>
      <c r="BB9" s="56"/>
      <c r="BC9" s="56"/>
      <c r="BD9" s="56"/>
      <c r="BE9" s="56"/>
      <c r="BF9" s="56"/>
      <c r="BG9" s="56"/>
      <c r="BH9" s="57"/>
    </row>
    <row r="10" spans="1:60" ht="14.25">
      <c r="A10" s="50"/>
      <c r="B10" s="55"/>
      <c r="C10" s="51"/>
      <c r="D10" s="55"/>
      <c r="E10" s="52"/>
      <c r="F10" s="51"/>
      <c r="G10" s="51"/>
      <c r="H10" s="51"/>
      <c r="I10" s="51"/>
      <c r="J10" s="51"/>
      <c r="K10" s="55"/>
      <c r="L10" s="51"/>
      <c r="M10" s="51"/>
      <c r="N10" s="51"/>
      <c r="O10" s="51"/>
      <c r="P10" s="55"/>
      <c r="Q10" s="51"/>
      <c r="R10" s="55"/>
      <c r="S10" s="55"/>
      <c r="T10" s="55"/>
      <c r="U10" s="55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1"/>
      <c r="BA10" s="51"/>
      <c r="BB10" s="53"/>
      <c r="BC10" s="53"/>
      <c r="BD10" s="53"/>
      <c r="BE10" s="53"/>
      <c r="BF10" s="53"/>
      <c r="BG10" s="53"/>
      <c r="BH10" s="54"/>
    </row>
    <row r="11" spans="1:60" ht="14.25">
      <c r="A11" s="50"/>
      <c r="B11" s="55"/>
      <c r="C11" s="51"/>
      <c r="D11" s="55"/>
      <c r="E11" s="52"/>
      <c r="F11" s="51"/>
      <c r="G11" s="51"/>
      <c r="H11" s="51"/>
      <c r="I11" s="51"/>
      <c r="J11" s="51"/>
      <c r="K11" s="55"/>
      <c r="L11" s="51"/>
      <c r="M11" s="51"/>
      <c r="N11" s="51"/>
      <c r="O11" s="51"/>
      <c r="P11" s="55"/>
      <c r="Q11" s="51"/>
      <c r="R11" s="55"/>
      <c r="S11" s="55"/>
      <c r="T11" s="55"/>
      <c r="U11" s="55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1"/>
      <c r="BA11" s="51"/>
      <c r="BB11" s="53"/>
      <c r="BC11" s="53"/>
      <c r="BD11" s="53"/>
      <c r="BE11" s="53"/>
      <c r="BF11" s="53"/>
      <c r="BG11" s="53"/>
      <c r="BH11" s="54"/>
    </row>
    <row r="12" spans="1:59" ht="14.25">
      <c r="A12" s="42"/>
      <c r="B12" s="39"/>
      <c r="C12" s="39"/>
      <c r="D12" s="39"/>
      <c r="E12" s="43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5"/>
      <c r="BC12" s="5"/>
      <c r="BD12" s="5"/>
      <c r="BE12" s="5"/>
      <c r="BF12" s="5"/>
      <c r="BG12" s="5"/>
    </row>
    <row r="13" spans="1:59" ht="14.25">
      <c r="A13" s="42"/>
      <c r="B13" s="39"/>
      <c r="C13" s="39"/>
      <c r="D13" s="39"/>
      <c r="E13" s="43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5"/>
      <c r="BC13" s="5"/>
      <c r="BD13" s="5"/>
      <c r="BE13" s="5"/>
      <c r="BF13" s="5"/>
      <c r="BG13" s="5"/>
    </row>
    <row r="14" spans="1:59" ht="14.25">
      <c r="A14" s="59"/>
      <c r="B14" s="39"/>
      <c r="C14" s="39"/>
      <c r="D14" s="39"/>
      <c r="E14" s="41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5"/>
      <c r="BC14" s="5"/>
      <c r="BD14" s="5"/>
      <c r="BE14" s="5"/>
      <c r="BF14" s="5"/>
      <c r="BG14" s="5"/>
    </row>
    <row r="15" spans="1:59" ht="14.25">
      <c r="A15" s="59"/>
      <c r="B15" s="39"/>
      <c r="C15" s="39"/>
      <c r="D15" s="39"/>
      <c r="E15" s="41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5"/>
      <c r="BC15" s="5"/>
      <c r="BD15" s="5"/>
      <c r="BE15" s="5"/>
      <c r="BF15" s="5"/>
      <c r="BG15" s="5"/>
    </row>
    <row r="16" spans="1:59" ht="14.25">
      <c r="A16" s="59"/>
      <c r="B16" s="39"/>
      <c r="C16" s="39"/>
      <c r="D16" s="39"/>
      <c r="E16" s="41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5"/>
      <c r="BC16" s="5"/>
      <c r="BD16" s="5"/>
      <c r="BE16" s="5"/>
      <c r="BF16" s="5"/>
      <c r="BG16" s="5"/>
    </row>
    <row r="17" spans="1:59" s="36" customFormat="1" ht="14.25">
      <c r="A17" s="42"/>
      <c r="B17" s="39"/>
      <c r="C17" s="39"/>
      <c r="D17" s="39"/>
      <c r="E17" s="43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8"/>
      <c r="BC17" s="38"/>
      <c r="BD17" s="38"/>
      <c r="BE17" s="38"/>
      <c r="BF17" s="38"/>
      <c r="BG17" s="38"/>
    </row>
    <row r="18" spans="1:59" s="36" customFormat="1" ht="14.25">
      <c r="A18" s="42"/>
      <c r="B18" s="39"/>
      <c r="C18" s="39"/>
      <c r="D18" s="39"/>
      <c r="E18" s="43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8"/>
      <c r="BC18" s="38"/>
      <c r="BD18" s="38"/>
      <c r="BE18" s="38"/>
      <c r="BF18" s="38"/>
      <c r="BG18" s="38"/>
    </row>
    <row r="19" spans="1:59" ht="14.2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5"/>
      <c r="BC19" s="5"/>
      <c r="BD19" s="5"/>
      <c r="BE19" s="5"/>
      <c r="BF19" s="5"/>
      <c r="BG19" s="5"/>
    </row>
    <row r="20" spans="1:59" ht="14.2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5"/>
      <c r="BC20" s="5"/>
      <c r="BD20" s="5"/>
      <c r="BE20" s="5"/>
      <c r="BF20" s="5"/>
      <c r="BG20" s="5"/>
    </row>
    <row r="21" spans="1:59" ht="14.25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5"/>
      <c r="BC21" s="5"/>
      <c r="BD21" s="5"/>
      <c r="BE21" s="5"/>
      <c r="BF21" s="5"/>
      <c r="BG21" s="5"/>
    </row>
    <row r="22" spans="1:59" s="36" customFormat="1" ht="14.2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8"/>
      <c r="BC22" s="38"/>
      <c r="BD22" s="38"/>
      <c r="BE22" s="38"/>
      <c r="BF22" s="38"/>
      <c r="BG22" s="38"/>
    </row>
    <row r="23" spans="1:59" ht="14.2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5"/>
      <c r="BC23" s="5"/>
      <c r="BD23" s="5"/>
      <c r="BE23" s="5"/>
      <c r="BF23" s="5"/>
      <c r="BG23" s="5"/>
    </row>
    <row r="24" spans="1:59" ht="14.2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5"/>
      <c r="BC24" s="5"/>
      <c r="BD24" s="5"/>
      <c r="BE24" s="5"/>
      <c r="BF24" s="5"/>
      <c r="BG24" s="5"/>
    </row>
    <row r="25" spans="1:59" ht="14.25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5"/>
      <c r="BC25" s="5"/>
      <c r="BD25" s="5"/>
      <c r="BE25" s="5"/>
      <c r="BF25" s="5"/>
      <c r="BG25" s="5"/>
    </row>
    <row r="26" spans="1:59" ht="14.2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5"/>
      <c r="BC26" s="5"/>
      <c r="BD26" s="5"/>
      <c r="BE26" s="5"/>
      <c r="BF26" s="5"/>
      <c r="BG26" s="5"/>
    </row>
    <row r="27" spans="1:58" ht="14.25">
      <c r="A27" s="5"/>
      <c r="B27" s="35"/>
      <c r="C27" s="35"/>
      <c r="D27" s="35"/>
      <c r="E27" s="4"/>
      <c r="F27" s="35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6"/>
      <c r="BC27" s="36"/>
      <c r="BD27" s="36"/>
      <c r="BE27" s="36"/>
      <c r="BF27" s="36"/>
    </row>
    <row r="28" spans="1:53" ht="14.25">
      <c r="A28" s="5"/>
      <c r="B28" s="35"/>
      <c r="C28" s="35"/>
      <c r="D28" s="35"/>
      <c r="E28" s="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</row>
    <row r="29" spans="1:54" ht="14.25">
      <c r="A29" s="5"/>
      <c r="B29" s="37"/>
      <c r="C29" s="37"/>
      <c r="D29" s="37"/>
      <c r="E29" s="4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6"/>
    </row>
    <row r="30" spans="1:54" ht="14.25">
      <c r="A30" s="5"/>
      <c r="B30" s="37"/>
      <c r="C30" s="37"/>
      <c r="D30" s="37"/>
      <c r="E30" s="4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6"/>
    </row>
    <row r="31" spans="1:54" ht="14.25">
      <c r="A31" s="5"/>
      <c r="B31" s="37"/>
      <c r="C31" s="37"/>
      <c r="D31" s="37"/>
      <c r="E31" s="4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6"/>
    </row>
    <row r="32" spans="1:53" s="36" customFormat="1" ht="14.25">
      <c r="A32" s="5"/>
      <c r="B32" s="37"/>
      <c r="C32" s="37"/>
      <c r="D32" s="37"/>
      <c r="E32" s="4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</row>
    <row r="33" spans="1:53" ht="14.25">
      <c r="A33" s="5"/>
      <c r="B33" s="35"/>
      <c r="C33" s="35"/>
      <c r="D33" s="35"/>
      <c r="E33" s="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</row>
    <row r="34" spans="1:53" ht="14.25">
      <c r="A34" s="5"/>
      <c r="B34" s="35"/>
      <c r="C34" s="35"/>
      <c r="D34" s="35"/>
      <c r="E34" s="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</row>
    <row r="35" spans="1:53" ht="14.25">
      <c r="A35" s="5"/>
      <c r="B35" s="35"/>
      <c r="C35" s="35"/>
      <c r="D35" s="35"/>
      <c r="E35" s="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</row>
    <row r="36" spans="1:53" ht="14.25">
      <c r="A36" s="5"/>
      <c r="B36" s="35"/>
      <c r="C36" s="35"/>
      <c r="D36" s="35"/>
      <c r="E36" s="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</row>
    <row r="37" spans="1:53" ht="14.25">
      <c r="A37" s="5"/>
      <c r="B37" s="35"/>
      <c r="C37" s="35"/>
      <c r="D37" s="35"/>
      <c r="E37" s="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</row>
    <row r="38" spans="1:53" ht="14.25">
      <c r="A38" s="38"/>
      <c r="B38" s="37"/>
      <c r="C38" s="37"/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</row>
    <row r="39" spans="1:53" ht="14.25">
      <c r="A39" s="38"/>
      <c r="B39" s="37"/>
      <c r="C39" s="37"/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</row>
    <row r="40" spans="2:53" ht="14.2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</row>
    <row r="41" spans="2:53" ht="14.2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</row>
    <row r="42" spans="2:53" ht="14.2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</row>
    <row r="43" spans="2:53" ht="14.2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</row>
    <row r="44" spans="2:53" ht="14.2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</row>
    <row r="45" spans="2:53" ht="14.2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</row>
    <row r="46" spans="2:53" ht="14.2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</row>
    <row r="47" spans="2:53" ht="14.2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</row>
    <row r="48" spans="2:53" ht="14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</row>
    <row r="49" spans="2:53" ht="14.2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</row>
    <row r="50" spans="2:53" ht="14.2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</row>
    <row r="51" spans="2:53" ht="14.2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</row>
    <row r="52" spans="2:53" ht="14.2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</row>
    <row r="53" spans="2:53" ht="14.2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</row>
    <row r="54" spans="2:53" ht="14.2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</row>
    <row r="55" spans="2:53" ht="14.2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</row>
    <row r="56" spans="2:53" ht="14.25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</row>
    <row r="57" spans="2:53" ht="14.2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</row>
    <row r="58" spans="2:53" ht="14.2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</row>
    <row r="59" spans="2:53" ht="14.2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</row>
    <row r="60" spans="2:53" ht="14.2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</row>
    <row r="61" spans="2:53" ht="14.2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</row>
    <row r="62" spans="2:53" ht="14.2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</row>
    <row r="63" spans="2:53" ht="14.2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</row>
    <row r="64" spans="2:53" ht="14.2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</row>
    <row r="65" spans="2:53" ht="14.2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</row>
    <row r="66" spans="2:53" ht="14.2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</row>
    <row r="67" spans="2:53" ht="14.2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</row>
    <row r="68" spans="2:53" ht="14.2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</row>
    <row r="69" spans="2:53" ht="14.2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</row>
    <row r="70" spans="2:53" ht="14.2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</row>
    <row r="71" spans="2:53" ht="14.2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</row>
    <row r="72" spans="2:53" ht="14.2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</row>
    <row r="73" spans="2:53" ht="14.2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</row>
    <row r="74" spans="2:53" ht="14.2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</row>
    <row r="75" spans="2:53" ht="14.2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</row>
    <row r="76" spans="2:53" ht="14.2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</row>
    <row r="77" spans="2:53" ht="14.2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</row>
    <row r="78" spans="2:53" ht="14.25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</row>
    <row r="79" spans="2:53" ht="14.2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</row>
    <row r="80" spans="2:53" ht="14.2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</row>
    <row r="81" spans="2:53" ht="14.2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</row>
    <row r="82" spans="2:53" ht="14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</row>
    <row r="83" spans="2:53" ht="14.2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</row>
    <row r="84" spans="2:53" ht="14.2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</row>
    <row r="85" spans="2:53" ht="14.2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</row>
    <row r="86" spans="2:53" ht="14.2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</row>
    <row r="87" spans="2:53" ht="14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</row>
    <row r="88" spans="2:53" ht="14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</row>
    <row r="89" spans="2:53" ht="14.2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</row>
    <row r="90" spans="2:53" ht="14.2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</row>
    <row r="91" spans="2:53" ht="14.2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</row>
    <row r="92" spans="2:53" ht="14.2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</row>
    <row r="93" spans="2:53" ht="14.2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</row>
    <row r="94" spans="2:53" ht="14.2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</row>
    <row r="95" spans="2:53" ht="14.2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</row>
    <row r="96" spans="2:53" ht="14.2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</row>
    <row r="97" spans="2:53" ht="14.2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</row>
    <row r="98" spans="2:53" ht="14.2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</row>
    <row r="99" spans="2:53" ht="14.2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</row>
    <row r="100" spans="2:53" ht="14.2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</row>
    <row r="101" spans="2:53" ht="14.2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</row>
    <row r="102" spans="2:53" ht="14.2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</row>
    <row r="103" spans="2:53" ht="14.2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</row>
  </sheetData>
  <sheetProtection/>
  <mergeCells count="16">
    <mergeCell ref="BH1:BH3"/>
    <mergeCell ref="BA1:BA3"/>
    <mergeCell ref="A1:A3"/>
    <mergeCell ref="B2:E2"/>
    <mergeCell ref="F2:I2"/>
    <mergeCell ref="J2:W2"/>
    <mergeCell ref="X2:Y2"/>
    <mergeCell ref="B1:AA1"/>
    <mergeCell ref="Z2:Z3"/>
    <mergeCell ref="AA2:AA3"/>
    <mergeCell ref="AZ2:AZ3"/>
    <mergeCell ref="BB1:BG2"/>
    <mergeCell ref="AK2:AM2"/>
    <mergeCell ref="AB2:AJ2"/>
    <mergeCell ref="AB1:AZ1"/>
    <mergeCell ref="AN2:AY2"/>
  </mergeCells>
  <printOptions gridLines="1"/>
  <pageMargins left="0.1968503937007874" right="0.1968503937007874" top="0.1968503937007874" bottom="0.1968503937007874" header="0.31496062992125984" footer="0.31496062992125984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2"/>
  <dimension ref="A1:J41"/>
  <sheetViews>
    <sheetView rightToLeft="1" view="pageBreakPreview" zoomScale="98" zoomScaleSheetLayoutView="98" zoomScalePageLayoutView="0" workbookViewId="0" topLeftCell="A1">
      <selection activeCell="K12" sqref="K12"/>
    </sheetView>
  </sheetViews>
  <sheetFormatPr defaultColWidth="9.00390625" defaultRowHeight="14.25"/>
  <cols>
    <col min="2" max="2" width="8.25390625" style="0" bestFit="1" customWidth="1"/>
    <col min="3" max="3" width="19.50390625" style="0" customWidth="1"/>
    <col min="4" max="4" width="1.875" style="0" customWidth="1"/>
    <col min="5" max="5" width="8.125" style="0" bestFit="1" customWidth="1"/>
    <col min="6" max="6" width="24.125" style="1" customWidth="1"/>
    <col min="10" max="10" width="8.125" style="0" customWidth="1"/>
  </cols>
  <sheetData>
    <row r="1" spans="1:7" ht="18">
      <c r="A1" s="69" t="str">
        <f>main!B2</f>
        <v>محافظة بورسعيد</v>
      </c>
      <c r="B1" s="69"/>
      <c r="C1" s="69"/>
      <c r="D1" s="7"/>
      <c r="E1" s="7"/>
      <c r="F1" s="73" t="s">
        <v>57</v>
      </c>
      <c r="G1" s="74"/>
    </row>
    <row r="2" spans="1:7" ht="18.75" thickBot="1">
      <c r="A2" s="69" t="str">
        <f>main!B3</f>
        <v>إدارة جنوب</v>
      </c>
      <c r="B2" s="69"/>
      <c r="C2" s="69"/>
      <c r="D2" s="7"/>
      <c r="E2" s="75" t="s">
        <v>49</v>
      </c>
      <c r="F2" s="75"/>
      <c r="G2" s="7"/>
    </row>
    <row r="3" spans="1:10" ht="18.75" thickBot="1">
      <c r="A3" s="77" t="str">
        <f>main!B4</f>
        <v>مدرسة إحميدان على إحميدان الإعدادية المشتركة</v>
      </c>
      <c r="B3" s="77"/>
      <c r="C3" s="77"/>
      <c r="D3" s="34"/>
      <c r="E3" s="77" t="str">
        <f>"مفردات مرتب السيد / "&amp;LOOKUP(I3,all!A4:A1058,all!BB4:BB1058)</f>
        <v>مفردات مرتب السيد / محمد عبد الجواد صالح</v>
      </c>
      <c r="F3" s="77"/>
      <c r="G3" s="77"/>
      <c r="I3" s="67">
        <v>1</v>
      </c>
      <c r="J3" s="68"/>
    </row>
    <row r="4" spans="1:7" ht="18">
      <c r="A4" s="2" t="s">
        <v>21</v>
      </c>
      <c r="B4" s="2"/>
      <c r="C4" s="7"/>
      <c r="D4" s="7"/>
      <c r="E4" s="7"/>
      <c r="F4" s="34" t="s">
        <v>22</v>
      </c>
      <c r="G4" s="7"/>
    </row>
    <row r="5" spans="1:7" ht="15" thickBot="1">
      <c r="A5" s="8"/>
      <c r="B5" s="9"/>
      <c r="C5" s="9"/>
      <c r="D5" s="9"/>
      <c r="E5" s="9"/>
      <c r="F5" s="10"/>
      <c r="G5" s="8"/>
    </row>
    <row r="6" spans="1:7" ht="19.5" thickBot="1" thickTop="1">
      <c r="A6" s="11"/>
      <c r="B6" s="70" t="s">
        <v>40</v>
      </c>
      <c r="C6" s="71"/>
      <c r="D6" s="12"/>
      <c r="E6" s="71" t="s">
        <v>23</v>
      </c>
      <c r="F6" s="72"/>
      <c r="G6" s="8"/>
    </row>
    <row r="7" spans="1:7" ht="18.75" thickTop="1">
      <c r="A7" s="11"/>
      <c r="B7" s="13">
        <f>LOOKUP(I3,all!A4:A1058,all!E4:E1058)</f>
        <v>173.60000000000002</v>
      </c>
      <c r="C7" s="14" t="s">
        <v>24</v>
      </c>
      <c r="D7" s="15"/>
      <c r="E7" s="16">
        <f>LOOKUP(I3,all!A4:A1058,all!AB4:AB1058)</f>
        <v>26.040000000000003</v>
      </c>
      <c r="F7" s="17" t="s">
        <v>25</v>
      </c>
      <c r="G7" s="8"/>
    </row>
    <row r="8" spans="1:7" ht="18">
      <c r="A8" s="11"/>
      <c r="B8" s="18">
        <f>LOOKUP(I3,all!A4:A1058,all!F4:F1058)</f>
        <v>26.040000000000003</v>
      </c>
      <c r="C8" s="19" t="s">
        <v>25</v>
      </c>
      <c r="D8" s="20"/>
      <c r="E8" s="21">
        <f>LOOKUP(I3,all!A4:A1058,all!AC4:AC1058)</f>
        <v>17.360000000000003</v>
      </c>
      <c r="F8" s="22" t="s">
        <v>41</v>
      </c>
      <c r="G8" s="8"/>
    </row>
    <row r="9" spans="1:7" ht="18">
      <c r="A9" s="11"/>
      <c r="B9" s="18">
        <f>LOOKUP(I3,all!A4:A1058,all!G4:G1058)</f>
        <v>2.604</v>
      </c>
      <c r="C9" s="23" t="s">
        <v>16</v>
      </c>
      <c r="D9" s="20"/>
      <c r="E9" s="21">
        <f>LOOKUP(I3,all!A4:A1058,all!AD4:AD1058)</f>
        <v>1.7360000000000002</v>
      </c>
      <c r="F9" s="22" t="s">
        <v>26</v>
      </c>
      <c r="G9" s="8"/>
    </row>
    <row r="10" spans="1:7" ht="18">
      <c r="A10" s="11"/>
      <c r="B10" s="18">
        <f>LOOKUP(I3,all!A4:A1058,all!H4:H1058)</f>
        <v>1.7360000000000002</v>
      </c>
      <c r="C10" s="19" t="s">
        <v>26</v>
      </c>
      <c r="D10" s="20"/>
      <c r="E10" s="21">
        <f>LOOKUP(I3,all!A4:A1058,all!AE4:AE1058)</f>
        <v>3.4720000000000004</v>
      </c>
      <c r="F10" s="22" t="s">
        <v>42</v>
      </c>
      <c r="G10" s="8"/>
    </row>
    <row r="11" spans="1:7" ht="18">
      <c r="A11" s="11"/>
      <c r="B11" s="18">
        <f>LOOKUP(I3,all!A4:A1058,all!I4:I1058)</f>
        <v>3.4720000000000004</v>
      </c>
      <c r="C11" s="19" t="s">
        <v>27</v>
      </c>
      <c r="D11" s="20"/>
      <c r="E11" s="21">
        <f>LOOKUP(I3,all!A4:A1058,all!AF4:AF1058)</f>
        <v>5.208</v>
      </c>
      <c r="F11" s="22" t="s">
        <v>43</v>
      </c>
      <c r="G11" s="8"/>
    </row>
    <row r="12" spans="1:7" ht="18">
      <c r="A12" s="11"/>
      <c r="B12" s="18"/>
      <c r="C12" s="19"/>
      <c r="D12" s="20"/>
      <c r="E12" s="21">
        <f>LOOKUP(I3,all!A4:A1058,all!AG4:AG1058)</f>
        <v>2.604</v>
      </c>
      <c r="F12" s="22" t="s">
        <v>44</v>
      </c>
      <c r="G12" s="8"/>
    </row>
    <row r="13" spans="1:7" ht="18">
      <c r="A13" s="11"/>
      <c r="B13" s="18">
        <f>LOOKUP(I3,all!A4:A1058,all!O4:O1058)</f>
        <v>43.400000000000006</v>
      </c>
      <c r="C13" s="19" t="s">
        <v>29</v>
      </c>
      <c r="D13" s="20"/>
      <c r="E13" s="21">
        <f>LOOKUP(I3,all!A4:A1058,all!AH4:AH1058)</f>
        <v>0.8680000000000001</v>
      </c>
      <c r="F13" s="22" t="s">
        <v>48</v>
      </c>
      <c r="G13" s="8"/>
    </row>
    <row r="14" spans="1:7" ht="18">
      <c r="A14" s="11"/>
      <c r="B14" s="18">
        <f>LOOKUP(I3,all!A4:A1058,all!Q4:Q1058)</f>
        <v>4</v>
      </c>
      <c r="C14" s="19" t="s">
        <v>19</v>
      </c>
      <c r="D14" s="20"/>
      <c r="E14" s="21">
        <f>LOOKUP(I3,all!A4:A1058,all!AI4:AI1058)</f>
        <v>12.152000000000003</v>
      </c>
      <c r="F14" s="22" t="s">
        <v>45</v>
      </c>
      <c r="G14" s="8"/>
    </row>
    <row r="15" spans="1:7" ht="18">
      <c r="A15" s="11"/>
      <c r="B15" s="18">
        <v>4</v>
      </c>
      <c r="C15" s="19" t="s">
        <v>18</v>
      </c>
      <c r="D15" s="20"/>
      <c r="E15" s="21">
        <f>LOOKUP(I3,all!A4:A1058,all!AJ4:AJ1058)</f>
        <v>0.3708000000000001</v>
      </c>
      <c r="F15" s="22" t="s">
        <v>20</v>
      </c>
      <c r="G15" s="8"/>
    </row>
    <row r="16" spans="1:7" ht="18">
      <c r="A16" s="11"/>
      <c r="B16" s="18">
        <f>LOOKUP(I3,all!A4:A1058,all!R4:R1058)</f>
        <v>30</v>
      </c>
      <c r="C16" s="19" t="s">
        <v>30</v>
      </c>
      <c r="D16" s="20"/>
      <c r="E16" s="21"/>
      <c r="F16" s="22"/>
      <c r="G16" s="8"/>
    </row>
    <row r="17" spans="1:7" ht="18">
      <c r="A17" s="11"/>
      <c r="B17" s="18">
        <f>LOOKUP(I3,all!A4:A1058,all!S4:S1058)</f>
        <v>36</v>
      </c>
      <c r="C17" s="19" t="s">
        <v>31</v>
      </c>
      <c r="D17" s="20"/>
      <c r="E17" s="21">
        <f>LOOKUP(I3,all!A4:A1058,all!AK4:AK1058)</f>
        <v>55.13400000000001</v>
      </c>
      <c r="F17" s="24" t="s">
        <v>25</v>
      </c>
      <c r="G17" s="8"/>
    </row>
    <row r="18" spans="1:9" ht="18">
      <c r="A18" s="11"/>
      <c r="B18" s="18">
        <f>LOOKUP(I3,all!A4:A1058,all!T4:T1058)</f>
        <v>22.08</v>
      </c>
      <c r="C18" s="19" t="s">
        <v>32</v>
      </c>
      <c r="D18" s="20"/>
      <c r="E18" s="21">
        <f>LOOKUP(I3,all!A4:A1058,all!AL4:AL1058)</f>
        <v>36.75600000000001</v>
      </c>
      <c r="F18" s="22" t="s">
        <v>41</v>
      </c>
      <c r="G18" s="8"/>
      <c r="I18" s="33"/>
    </row>
    <row r="19" spans="1:7" ht="18">
      <c r="A19" s="11"/>
      <c r="B19" s="18">
        <f>LOOKUP(I3,all!A4:A1058,all!U4:U1058)</f>
        <v>46.8</v>
      </c>
      <c r="C19" s="19" t="s">
        <v>33</v>
      </c>
      <c r="D19" s="20"/>
      <c r="E19" s="21">
        <f>LOOKUP(I3,all!A4:A1058,all!AM4:AM1058)</f>
        <v>3.6756000000000006</v>
      </c>
      <c r="F19" s="22" t="s">
        <v>26</v>
      </c>
      <c r="G19" s="8"/>
    </row>
    <row r="20" spans="1:7" ht="18">
      <c r="A20" s="11"/>
      <c r="B20" s="18">
        <f>LOOKUP(I3,all!A4:A1058,all!V4:V1058)</f>
        <v>16.48</v>
      </c>
      <c r="C20" s="19" t="s">
        <v>34</v>
      </c>
      <c r="D20" s="20"/>
      <c r="E20" s="21"/>
      <c r="F20" s="22"/>
      <c r="G20" s="8"/>
    </row>
    <row r="21" spans="1:7" ht="18">
      <c r="A21" s="11"/>
      <c r="B21" s="18">
        <f>LOOKUP(I3,all!A4:A1058,all!J4:J1058)</f>
        <v>0</v>
      </c>
      <c r="C21" s="19" t="s">
        <v>2</v>
      </c>
      <c r="D21" s="20"/>
      <c r="E21" s="21">
        <v>3</v>
      </c>
      <c r="F21" s="22" t="s">
        <v>46</v>
      </c>
      <c r="G21" s="8"/>
    </row>
    <row r="22" spans="1:7" ht="18">
      <c r="A22" s="11"/>
      <c r="B22" s="18">
        <f>LOOKUP(I3,all!A4:A1058,all!K4:K1058)</f>
        <v>0</v>
      </c>
      <c r="C22" s="19" t="s">
        <v>35</v>
      </c>
      <c r="D22" s="20"/>
      <c r="E22" s="21">
        <v>2</v>
      </c>
      <c r="F22" s="22" t="s">
        <v>47</v>
      </c>
      <c r="G22" s="8"/>
    </row>
    <row r="23" spans="1:7" ht="18">
      <c r="A23" s="11"/>
      <c r="B23" s="18">
        <f>LOOKUP(I3,all!A4:A1058,all!L4:L1058)</f>
        <v>82.4</v>
      </c>
      <c r="C23" s="19" t="s">
        <v>36</v>
      </c>
      <c r="D23" s="20"/>
      <c r="E23" s="21"/>
      <c r="F23" s="22"/>
      <c r="G23" s="8"/>
    </row>
    <row r="24" spans="1:7" ht="18">
      <c r="A24" s="11"/>
      <c r="B24" s="18">
        <f>LOOKUP(I3,all!A4:A1058,all!L4:L1058)</f>
        <v>82.4</v>
      </c>
      <c r="C24" s="19" t="s">
        <v>37</v>
      </c>
      <c r="D24" s="20"/>
      <c r="E24" s="21"/>
      <c r="F24" s="22"/>
      <c r="G24" s="8"/>
    </row>
    <row r="25" spans="1:7" ht="18">
      <c r="A25" s="11"/>
      <c r="B25" s="18">
        <f>LOOKUP(I3,all!A4:A1058,all!W4:W1058)</f>
        <v>367.56000000000006</v>
      </c>
      <c r="C25" s="19" t="s">
        <v>38</v>
      </c>
      <c r="D25" s="20"/>
      <c r="E25" s="21"/>
      <c r="F25" s="22"/>
      <c r="G25" s="8"/>
    </row>
    <row r="26" spans="1:7" ht="18">
      <c r="A26" s="11"/>
      <c r="B26" s="18"/>
      <c r="C26" s="19"/>
      <c r="D26" s="20"/>
      <c r="E26" s="21"/>
      <c r="F26" s="22"/>
      <c r="G26" s="8"/>
    </row>
    <row r="27" spans="1:7" ht="18">
      <c r="A27" s="11"/>
      <c r="B27" s="18">
        <v>10</v>
      </c>
      <c r="C27" s="19" t="s">
        <v>28</v>
      </c>
      <c r="D27" s="20"/>
      <c r="E27" s="21"/>
      <c r="F27" s="22"/>
      <c r="G27" s="8"/>
    </row>
    <row r="28" spans="1:7" ht="18">
      <c r="A28" s="11"/>
      <c r="B28" s="18"/>
      <c r="C28" s="19"/>
      <c r="D28" s="20"/>
      <c r="E28" s="21"/>
      <c r="F28" s="22"/>
      <c r="G28" s="8"/>
    </row>
    <row r="29" spans="1:7" ht="18">
      <c r="A29" s="11"/>
      <c r="B29" s="18">
        <f>LOOKUP(I3,all!A4:A1058,all!X4:X1058)</f>
        <v>55.13400000000001</v>
      </c>
      <c r="C29" s="19" t="s">
        <v>25</v>
      </c>
      <c r="D29" s="20"/>
      <c r="E29" s="21"/>
      <c r="F29" s="22"/>
      <c r="G29" s="8"/>
    </row>
    <row r="30" spans="1:7" ht="18">
      <c r="A30" s="11"/>
      <c r="B30" s="18">
        <f>LOOKUP(I3,all!A4:A1058,all!Y4:Y1058)</f>
        <v>3.6756000000000006</v>
      </c>
      <c r="C30" s="19" t="s">
        <v>26</v>
      </c>
      <c r="D30" s="20"/>
      <c r="E30" s="21"/>
      <c r="F30" s="22"/>
      <c r="G30" s="8"/>
    </row>
    <row r="31" spans="1:7" ht="18">
      <c r="A31" s="11"/>
      <c r="B31" s="18"/>
      <c r="C31" s="19"/>
      <c r="D31" s="20"/>
      <c r="E31" s="21"/>
      <c r="F31" s="22"/>
      <c r="G31" s="8"/>
    </row>
    <row r="32" spans="1:7" ht="18.75" thickBot="1">
      <c r="A32" s="11"/>
      <c r="B32" s="18">
        <f>LOOKUP(I3,all!A4:A1058,all!AA4:AA1058)</f>
        <v>643.8216000000001</v>
      </c>
      <c r="C32" s="25" t="s">
        <v>39</v>
      </c>
      <c r="D32" s="20"/>
      <c r="E32" s="21">
        <f>LOOKUP(I3,all!A4:A1058,all!AZ4:AZ1058)</f>
        <v>170.37640000000002</v>
      </c>
      <c r="F32" s="26" t="s">
        <v>50</v>
      </c>
      <c r="G32" s="8"/>
    </row>
    <row r="33" spans="1:7" ht="19.5" customHeight="1" thickBot="1" thickTop="1">
      <c r="A33" s="11"/>
      <c r="B33" s="27">
        <f>LOOKUP(I3,all!A4:A1058,all!BA4:BA1058)</f>
        <v>473.4452000000001</v>
      </c>
      <c r="C33" s="76" t="str">
        <f>"الصافي : "&amp;ArbNum2Text(B33)</f>
        <v>الصافي : أربعمائة وثلاثة وسبعونَ جنيهاً وخمسة وأربعونَ قرشاً فقطُ لا غيرَ</v>
      </c>
      <c r="D33" s="60"/>
      <c r="E33" s="60"/>
      <c r="F33" s="61"/>
      <c r="G33" s="8"/>
    </row>
    <row r="34" spans="1:7" ht="24" thickTop="1">
      <c r="A34" s="8"/>
      <c r="B34" s="78" t="s">
        <v>51</v>
      </c>
      <c r="C34" s="78"/>
      <c r="D34" s="7"/>
      <c r="E34" s="7"/>
      <c r="F34" s="28"/>
      <c r="G34" s="8"/>
    </row>
    <row r="35" spans="1:7" ht="18" customHeight="1">
      <c r="A35" s="8"/>
      <c r="B35" s="80" t="str">
        <f>"بعاليه مفردات مرتب السيد / "&amp;LOOKUP(I3,all!A4:A1058,all!BB4:BB1058)&amp;" وقد قدمت إليه بناء على طلبه "</f>
        <v>بعاليه مفردات مرتب السيد / محمد عبد الجواد صالح وقد قدمت إليه بناء على طلبه </v>
      </c>
      <c r="C35" s="80"/>
      <c r="D35" s="80"/>
      <c r="E35" s="80"/>
      <c r="F35" s="80"/>
      <c r="G35" s="8"/>
    </row>
    <row r="36" spans="1:7" ht="18" customHeight="1">
      <c r="A36" s="8"/>
      <c r="B36" s="80"/>
      <c r="C36" s="80"/>
      <c r="D36" s="80"/>
      <c r="E36" s="80"/>
      <c r="F36" s="80"/>
      <c r="G36" s="8"/>
    </row>
    <row r="37" spans="1:7" ht="18">
      <c r="A37" s="8"/>
      <c r="B37" s="7"/>
      <c r="C37" s="79" t="s">
        <v>52</v>
      </c>
      <c r="D37" s="79"/>
      <c r="E37" s="79"/>
      <c r="F37" s="79"/>
      <c r="G37" s="8"/>
    </row>
    <row r="38" spans="1:7" ht="18">
      <c r="A38" s="8"/>
      <c r="B38" s="7"/>
      <c r="C38" s="29"/>
      <c r="D38" s="29"/>
      <c r="E38" s="29"/>
      <c r="F38" s="29"/>
      <c r="G38" s="8"/>
    </row>
    <row r="39" spans="1:7" s="3" customFormat="1" ht="28.5">
      <c r="A39" s="30"/>
      <c r="B39" s="31" t="s">
        <v>53</v>
      </c>
      <c r="C39" s="31" t="s">
        <v>55</v>
      </c>
      <c r="D39" s="78" t="s">
        <v>54</v>
      </c>
      <c r="E39" s="78"/>
      <c r="F39" s="32" t="s">
        <v>56</v>
      </c>
      <c r="G39" s="30"/>
    </row>
    <row r="40" spans="1:7" ht="14.25">
      <c r="A40" s="6"/>
      <c r="B40" s="6"/>
      <c r="C40" s="6"/>
      <c r="D40" s="6"/>
      <c r="E40" s="6"/>
      <c r="G40" s="6"/>
    </row>
    <row r="41" spans="1:7" ht="14.25">
      <c r="A41" s="6"/>
      <c r="B41" s="6"/>
      <c r="C41" s="6"/>
      <c r="D41" s="6"/>
      <c r="E41" s="6"/>
      <c r="G41" s="6"/>
    </row>
  </sheetData>
  <sheetProtection/>
  <mergeCells count="15">
    <mergeCell ref="D39:E39"/>
    <mergeCell ref="B34:C34"/>
    <mergeCell ref="C37:F37"/>
    <mergeCell ref="B35:F36"/>
    <mergeCell ref="C33:F33"/>
    <mergeCell ref="A4:B4"/>
    <mergeCell ref="E3:G3"/>
    <mergeCell ref="A3:C3"/>
    <mergeCell ref="I3:J3"/>
    <mergeCell ref="A1:C1"/>
    <mergeCell ref="A2:C2"/>
    <mergeCell ref="B6:C6"/>
    <mergeCell ref="E6:F6"/>
    <mergeCell ref="F1:G1"/>
    <mergeCell ref="E2:F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ورقة3"/>
  <dimension ref="A1:Q98"/>
  <sheetViews>
    <sheetView rightToLeft="1" tabSelected="1" zoomScalePageLayoutView="0" workbookViewId="0" topLeftCell="A1">
      <selection activeCell="G6" sqref="G6"/>
    </sheetView>
  </sheetViews>
  <sheetFormatPr defaultColWidth="9.00390625" defaultRowHeight="14.25"/>
  <cols>
    <col min="1" max="1" width="17.125" style="6" bestFit="1" customWidth="1"/>
    <col min="2" max="2" width="5.25390625" style="6" bestFit="1" customWidth="1"/>
    <col min="3" max="3" width="4.875" style="6" bestFit="1" customWidth="1"/>
    <col min="4" max="4" width="7.625" style="6" bestFit="1" customWidth="1"/>
    <col min="5" max="5" width="10.875" style="6" bestFit="1" customWidth="1"/>
    <col min="6" max="6" width="4.625" style="6" bestFit="1" customWidth="1"/>
    <col min="7" max="15" width="9.00390625" style="6" customWidth="1"/>
    <col min="16" max="16" width="9.75390625" style="6" bestFit="1" customWidth="1"/>
    <col min="17" max="17" width="10.875" style="6" bestFit="1" customWidth="1"/>
    <col min="18" max="16384" width="9.00390625" style="6" customWidth="1"/>
  </cols>
  <sheetData>
    <row r="1" spans="1:6" ht="25.5">
      <c r="A1" s="40" t="s">
        <v>58</v>
      </c>
      <c r="B1" s="82" t="s">
        <v>83</v>
      </c>
      <c r="C1" s="82"/>
      <c r="D1" s="82"/>
      <c r="E1" s="82"/>
      <c r="F1" s="82"/>
    </row>
    <row r="2" spans="1:6" ht="25.5">
      <c r="A2" s="40" t="s">
        <v>59</v>
      </c>
      <c r="B2" s="82" t="s">
        <v>101</v>
      </c>
      <c r="C2" s="82"/>
      <c r="D2" s="82"/>
      <c r="E2" s="82"/>
      <c r="F2" s="82"/>
    </row>
    <row r="3" spans="1:6" ht="26.25" thickBot="1">
      <c r="A3" s="40" t="s">
        <v>60</v>
      </c>
      <c r="B3" s="82" t="s">
        <v>102</v>
      </c>
      <c r="C3" s="82"/>
      <c r="D3" s="82"/>
      <c r="E3" s="82"/>
      <c r="F3" s="82"/>
    </row>
    <row r="4" spans="1:10" ht="26.25" thickBot="1">
      <c r="A4" s="40" t="s">
        <v>61</v>
      </c>
      <c r="B4" s="82" t="s">
        <v>103</v>
      </c>
      <c r="C4" s="82"/>
      <c r="D4" s="82"/>
      <c r="E4" s="82"/>
      <c r="F4" s="82"/>
      <c r="J4" s="45"/>
    </row>
    <row r="5" spans="1:6" ht="25.5">
      <c r="A5" s="40" t="s">
        <v>82</v>
      </c>
      <c r="B5" s="82">
        <v>3</v>
      </c>
      <c r="C5" s="82"/>
      <c r="D5" s="82"/>
      <c r="E5" s="82"/>
      <c r="F5" s="82"/>
    </row>
    <row r="6" spans="1:6" ht="25.5">
      <c r="A6" s="40" t="str">
        <f ca="1">"نسبة علاوة "&amp;IF(MONTH(TODAY())&gt;=7,YEAR(TODAY()),YEAR(TODAY())-1)</f>
        <v>نسبة علاوة 2009</v>
      </c>
      <c r="B6" s="83">
        <v>0.1</v>
      </c>
      <c r="C6" s="82"/>
      <c r="D6" s="82"/>
      <c r="E6" s="82"/>
      <c r="F6" s="82"/>
    </row>
    <row r="7" spans="1:17" ht="25.5">
      <c r="A7" s="40" t="s">
        <v>94</v>
      </c>
      <c r="B7" s="81">
        <v>0</v>
      </c>
      <c r="C7" s="81"/>
      <c r="D7" s="81"/>
      <c r="E7" s="81"/>
      <c r="F7" s="81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0:17" ht="14.25">
      <c r="J8" s="35"/>
      <c r="K8" s="35"/>
      <c r="L8" s="35"/>
      <c r="M8" s="35"/>
      <c r="N8" s="35"/>
      <c r="O8" s="35"/>
      <c r="P8" s="35"/>
      <c r="Q8" s="35"/>
    </row>
    <row r="9" spans="10:17" ht="14.25">
      <c r="J9" s="35"/>
      <c r="K9" s="35"/>
      <c r="L9" s="35"/>
      <c r="M9" s="35"/>
      <c r="N9" s="35"/>
      <c r="O9" s="35"/>
      <c r="P9" s="35"/>
      <c r="Q9" s="35"/>
    </row>
    <row r="10" spans="1:17" ht="25.5">
      <c r="A10" s="85" t="s">
        <v>91</v>
      </c>
      <c r="B10" s="85"/>
      <c r="E10" s="46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2:9" ht="15.75">
      <c r="B11" s="86" t="s">
        <v>92</v>
      </c>
      <c r="C11" s="86"/>
      <c r="D11" s="86"/>
      <c r="E11" s="86"/>
      <c r="F11" s="86"/>
      <c r="G11" s="86"/>
      <c r="H11" s="86"/>
      <c r="I11" s="86"/>
    </row>
    <row r="12" spans="2:9" ht="15">
      <c r="B12" s="87" t="s">
        <v>97</v>
      </c>
      <c r="C12" s="87"/>
      <c r="D12" s="87"/>
      <c r="E12" s="87"/>
      <c r="F12" s="87"/>
      <c r="G12" s="87"/>
      <c r="H12" s="87"/>
      <c r="I12" s="87"/>
    </row>
    <row r="13" spans="2:9" ht="15">
      <c r="B13" s="87" t="s">
        <v>93</v>
      </c>
      <c r="C13" s="87"/>
      <c r="D13" s="87"/>
      <c r="E13" s="87"/>
      <c r="F13" s="87"/>
      <c r="G13" s="87"/>
      <c r="H13" s="87"/>
      <c r="I13" s="87"/>
    </row>
    <row r="14" spans="2:9" ht="15">
      <c r="B14" s="84" t="s">
        <v>95</v>
      </c>
      <c r="C14" s="84"/>
      <c r="D14" s="84"/>
      <c r="E14" s="84"/>
      <c r="F14" s="84"/>
      <c r="G14" s="84"/>
      <c r="H14" s="84"/>
      <c r="I14" s="84"/>
    </row>
    <row r="15" spans="2:9" ht="15">
      <c r="B15" s="84" t="s">
        <v>96</v>
      </c>
      <c r="C15" s="84"/>
      <c r="D15" s="84"/>
      <c r="E15" s="84"/>
      <c r="F15" s="84"/>
      <c r="G15" s="84"/>
      <c r="H15" s="84"/>
      <c r="I15" s="84"/>
    </row>
    <row r="16" spans="2:9" ht="15">
      <c r="B16" s="84" t="s">
        <v>100</v>
      </c>
      <c r="C16" s="84"/>
      <c r="D16" s="84"/>
      <c r="E16" s="84"/>
      <c r="F16" s="84"/>
      <c r="G16" s="84"/>
      <c r="H16" s="84"/>
      <c r="I16" s="84"/>
    </row>
    <row r="97" ht="14.25">
      <c r="A97" s="6">
        <f ca="1">MONTH(TODAY())</f>
        <v>9</v>
      </c>
    </row>
    <row r="98" ht="14.25">
      <c r="A98" s="6">
        <v>0</v>
      </c>
    </row>
  </sheetData>
  <sheetProtection/>
  <mergeCells count="14">
    <mergeCell ref="B14:I14"/>
    <mergeCell ref="B15:I15"/>
    <mergeCell ref="B16:I16"/>
    <mergeCell ref="A10:B10"/>
    <mergeCell ref="B11:I11"/>
    <mergeCell ref="B12:I12"/>
    <mergeCell ref="B13:I13"/>
    <mergeCell ref="B7:F7"/>
    <mergeCell ref="B1:F1"/>
    <mergeCell ref="B2:F2"/>
    <mergeCell ref="B3:F3"/>
    <mergeCell ref="B4:F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نسيم</cp:lastModifiedBy>
  <cp:lastPrinted>2009-07-21T23:35:09Z</cp:lastPrinted>
  <dcterms:created xsi:type="dcterms:W3CDTF">2009-05-07T06:51:49Z</dcterms:created>
  <dcterms:modified xsi:type="dcterms:W3CDTF">2009-09-08T12:07:34Z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